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ccounting Services\Payroll\Comm &amp; Train\Communications\Net Pay Calculator\2025\"/>
    </mc:Choice>
  </mc:AlternateContent>
  <xr:revisionPtr revIDLastSave="0" documentId="8_{FB3F4280-D3D2-4AD6-9DEF-578F9091B626}" xr6:coauthVersionLast="47" xr6:coauthVersionMax="47" xr10:uidLastSave="{00000000-0000-0000-0000-000000000000}"/>
  <workbookProtection workbookAlgorithmName="SHA-512" workbookHashValue="yWXjL8JBWXUhokABUUB+9yUE8MXXJW0yam6bQg28BSNERSQLZwyUuI9XCXdQAiRNiB6M0OLPIBBx4qhr1cUJoA==" workbookSaltValue="6N2a1Alq7G304/m8lmsDCw==" workbookSpinCount="100000" lockStructure="1"/>
  <bookViews>
    <workbookView xWindow="-120" yWindow="-120" windowWidth="21840" windowHeight="13140" tabRatio="745" xr2:uid="{00000000-000D-0000-FFFF-FFFF00000000}"/>
  </bookViews>
  <sheets>
    <sheet name="SEMCAL" sheetId="1" r:id="rId1"/>
    <sheet name="FedTax" sheetId="42862" r:id="rId2"/>
    <sheet name="StateTax" sheetId="42863" r:id="rId3"/>
    <sheet name="TaxTable" sheetId="42864" r:id="rId4"/>
  </sheets>
  <definedNames>
    <definedName name="_Fill" hidden="1">#REF!</definedName>
    <definedName name="_xlnm.Print_Area" localSheetId="1">FedTax!$A$1:$F$38</definedName>
    <definedName name="_xlnm.Print_Area" localSheetId="0">SEMCAL!$A$1:$E$29</definedName>
    <definedName name="_xlnm.Print_Area" localSheetId="2">StateTax!$A$1:$F$35</definedName>
    <definedName name="_xlnm.Print_Area" localSheetId="3">TaxTable!$A$1:$P$47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42863" l="1"/>
  <c r="B18" i="42863"/>
  <c r="B17" i="42863"/>
  <c r="B16" i="42863"/>
  <c r="B15" i="42863"/>
  <c r="B12" i="42863"/>
  <c r="B13" i="42863" s="1"/>
  <c r="D8" i="42863"/>
  <c r="B8" i="42863"/>
  <c r="D7" i="42863"/>
  <c r="B7" i="42863"/>
  <c r="C6" i="42863"/>
  <c r="B6" i="42863"/>
  <c r="C5" i="42863"/>
  <c r="B5" i="42863"/>
  <c r="C4" i="42863"/>
  <c r="B4" i="42863"/>
  <c r="C5" i="42862"/>
  <c r="C4" i="42862"/>
  <c r="B4" i="42862"/>
  <c r="B5" i="42862"/>
  <c r="B6" i="42862"/>
  <c r="C6" i="42862"/>
  <c r="B7" i="42862"/>
  <c r="B8" i="42862"/>
  <c r="D7" i="42862"/>
  <c r="D8" i="42862"/>
  <c r="B12" i="42862"/>
  <c r="B15" i="42862"/>
  <c r="B16" i="42862"/>
  <c r="B17" i="42862"/>
  <c r="B18" i="42862"/>
  <c r="C27" i="42862"/>
  <c r="D11" i="1"/>
  <c r="E3" i="42863"/>
  <c r="E3" i="42862"/>
  <c r="A2" i="42864"/>
  <c r="A2" i="42863"/>
  <c r="A2" i="42862"/>
  <c r="D18" i="1"/>
  <c r="D21" i="1" s="1"/>
  <c r="D6" i="1"/>
  <c r="D10" i="1" s="1"/>
  <c r="D14" i="1"/>
  <c r="D17" i="1" s="1"/>
  <c r="D9" i="42862" l="1"/>
  <c r="D22" i="1"/>
  <c r="C9" i="42863"/>
  <c r="D9" i="42863"/>
  <c r="C9" i="42862"/>
  <c r="B13" i="42862"/>
  <c r="B9" i="42862"/>
  <c r="B19" i="42863"/>
  <c r="D25" i="1"/>
  <c r="B19" i="42862"/>
  <c r="B20" i="42862" s="1"/>
  <c r="B9" i="42863"/>
  <c r="B21" i="42862" l="1"/>
  <c r="B21" i="1" s="1"/>
  <c r="C10" i="42862"/>
  <c r="C19" i="42862" s="1"/>
  <c r="C10" i="42863"/>
  <c r="C19" i="42863" s="1"/>
  <c r="B20" i="42863"/>
  <c r="B21" i="42863" s="1"/>
  <c r="B22" i="1" s="1"/>
  <c r="C12" i="42863" l="1"/>
  <c r="C16" i="42863"/>
  <c r="C18" i="42863"/>
  <c r="D10" i="42863"/>
  <c r="C15" i="42863"/>
  <c r="C17" i="42863"/>
  <c r="D10" i="42862"/>
  <c r="C18" i="42862"/>
  <c r="C16" i="42862"/>
  <c r="C12" i="42862"/>
  <c r="C15" i="42862"/>
  <c r="C17" i="42862"/>
  <c r="C20" i="42863" l="1"/>
  <c r="C13" i="42863"/>
  <c r="C22" i="42863"/>
  <c r="C20" i="42862"/>
  <c r="D18" i="42862"/>
  <c r="D15" i="42862"/>
  <c r="D12" i="42862"/>
  <c r="D13" i="42862" s="1"/>
  <c r="D16" i="42862"/>
  <c r="D17" i="42862"/>
  <c r="D19" i="42862"/>
  <c r="D18" i="42863"/>
  <c r="D12" i="42863"/>
  <c r="D13" i="42863" s="1"/>
  <c r="D16" i="42863"/>
  <c r="D17" i="42863"/>
  <c r="D15" i="42863"/>
  <c r="D19" i="42863"/>
  <c r="C22" i="42862"/>
  <c r="C13" i="42862"/>
  <c r="C21" i="42863" l="1"/>
  <c r="C23" i="42863" s="1"/>
  <c r="C21" i="42862"/>
  <c r="D20" i="42862"/>
  <c r="D21" i="42862" s="1"/>
  <c r="C26" i="42862" s="1"/>
  <c r="D20" i="42863"/>
  <c r="D21" i="42863" s="1"/>
  <c r="C26" i="42863" s="1"/>
  <c r="C23" i="42862" l="1"/>
  <c r="B30" i="42863"/>
  <c r="C30" i="42863" s="1"/>
  <c r="C24" i="42863"/>
  <c r="C25" i="42863" s="1"/>
  <c r="C28" i="42863" s="1"/>
  <c r="B20" i="1" s="1"/>
  <c r="D32" i="42863"/>
  <c r="B33" i="42863"/>
  <c r="C33" i="42863" s="1"/>
  <c r="D31" i="42863"/>
  <c r="D30" i="42863"/>
  <c r="B31" i="42863"/>
  <c r="B32" i="42863"/>
  <c r="D33" i="42863"/>
  <c r="C31" i="42863" l="1"/>
  <c r="E31" i="42863" s="1"/>
  <c r="C32" i="42863"/>
  <c r="E32" i="42863" s="1"/>
  <c r="C24" i="42862"/>
  <c r="C25" i="42862" s="1"/>
  <c r="C28" i="42862" s="1"/>
  <c r="B19" i="1" s="1"/>
  <c r="D24" i="1" s="1"/>
  <c r="D27" i="1" s="1"/>
  <c r="D36" i="42862"/>
  <c r="D35" i="42862"/>
  <c r="B35" i="42862"/>
  <c r="B30" i="42862"/>
  <c r="C30" i="42862" s="1"/>
  <c r="B33" i="42862"/>
  <c r="D30" i="42862"/>
  <c r="D34" i="42862"/>
  <c r="D31" i="42862"/>
  <c r="B31" i="42862"/>
  <c r="B34" i="42862"/>
  <c r="D33" i="42862"/>
  <c r="D32" i="42862"/>
  <c r="B32" i="42862"/>
  <c r="B36" i="42862"/>
  <c r="C36" i="42862" s="1"/>
  <c r="E30" i="42863"/>
  <c r="E33" i="42863"/>
  <c r="C35" i="42862" l="1"/>
  <c r="E35" i="42862" s="1"/>
  <c r="C34" i="42862"/>
  <c r="E34" i="42862" s="1"/>
  <c r="C31" i="42862"/>
  <c r="E31" i="42862" s="1"/>
  <c r="C33" i="42862"/>
  <c r="E33" i="42862" s="1"/>
  <c r="C32" i="42862"/>
  <c r="E32" i="42862" s="1"/>
  <c r="E36" i="42862"/>
  <c r="E30" i="42862"/>
  <c r="E34" i="42863"/>
  <c r="E37" i="42862" l="1"/>
</calcChain>
</file>

<file path=xl/sharedStrings.xml><?xml version="1.0" encoding="utf-8"?>
<sst xmlns="http://schemas.openxmlformats.org/spreadsheetml/2006/main" count="262" uniqueCount="123">
  <si>
    <t xml:space="preserve">Biweekly Gross          </t>
  </si>
  <si>
    <t>(1=MED,2=FICA,3=NONE)</t>
  </si>
  <si>
    <t xml:space="preserve"> </t>
  </si>
  <si>
    <t>Supplemental Gross</t>
  </si>
  <si>
    <t>Retirement Gross Adj. Supp</t>
  </si>
  <si>
    <t>Taxable Mileage &amp; Meals</t>
  </si>
  <si>
    <t>Personal Use Car - Dollars</t>
  </si>
  <si>
    <t>Federal Allowances</t>
  </si>
  <si>
    <t>State Allowances</t>
  </si>
  <si>
    <t>Tax Marital Status 1=S,2=M</t>
  </si>
  <si>
    <t xml:space="preserve">Additional Federal Tax     </t>
  </si>
  <si>
    <t>Biweekly Federal Tax</t>
  </si>
  <si>
    <t>Biweekly State Tax</t>
  </si>
  <si>
    <t>Total Biweekly Taxes (Federal, State, FICA and Medicare)</t>
  </si>
  <si>
    <t>Net Pay</t>
  </si>
  <si>
    <t xml:space="preserve">              </t>
  </si>
  <si>
    <t>FWT Taxable Gross</t>
  </si>
  <si>
    <t>SWT Taxable Gross (MN)</t>
  </si>
  <si>
    <t>Taxable Insurance</t>
  </si>
  <si>
    <t>Total After-Tax Deductions</t>
  </si>
  <si>
    <t>Converted Leave Gross</t>
  </si>
  <si>
    <t>Converted Leave Deduction</t>
  </si>
  <si>
    <t>Before-Tax Insurance</t>
  </si>
  <si>
    <t xml:space="preserve">Retirement % Employee </t>
  </si>
  <si>
    <t xml:space="preserve">Retirement Gross </t>
  </si>
  <si>
    <t>Retirement Gross Adj.  Regular</t>
  </si>
  <si>
    <t>Supplemental Retire Gross</t>
  </si>
  <si>
    <t>Retirement Refunds</t>
  </si>
  <si>
    <t xml:space="preserve">FICA Gross    </t>
  </si>
  <si>
    <t>FICA Tax Employee</t>
  </si>
  <si>
    <t>Medicare Gross Adjust.</t>
  </si>
  <si>
    <t>Medicare Tax Employee</t>
  </si>
  <si>
    <t xml:space="preserve">Additional State Tax     </t>
  </si>
  <si>
    <t>Deferred Compensation</t>
  </si>
  <si>
    <t>Supplemental Retire % Employee</t>
  </si>
  <si>
    <t>Retirement Ded-Employee</t>
  </si>
  <si>
    <t>Retirement-Supp Ded-Employee</t>
  </si>
  <si>
    <t>Retirement-BB-Employee</t>
  </si>
  <si>
    <t>Deferred Comp Employer Match</t>
  </si>
  <si>
    <t>Depend-MedExp/Park/Bus/Van/HCSP/HSA</t>
  </si>
  <si>
    <t>Total Before Tax Deductions (DefComp,Insur,Depend-MedExp/Park/Bus/Van/HCSP/HSA)</t>
  </si>
  <si>
    <t>Additional Medicare Tax</t>
  </si>
  <si>
    <t>FICAMAX</t>
  </si>
  <si>
    <t>Medicare Gross YTD</t>
  </si>
  <si>
    <t>FICA Gross Adjustment</t>
  </si>
  <si>
    <t>Fica Gross YTD</t>
  </si>
  <si>
    <t>Medicare Gross</t>
  </si>
  <si>
    <t>Total Gross</t>
  </si>
  <si>
    <t>Calculation of Taxable Gross - Additions to Total Gross</t>
  </si>
  <si>
    <t>Calculation of Taxable Gross - Subtractions to Total Gross</t>
  </si>
  <si>
    <t>Subtotal Subtractions</t>
  </si>
  <si>
    <t>Subtotal Additions</t>
  </si>
  <si>
    <t>Federal Taxable Gross</t>
  </si>
  <si>
    <t>Percentage</t>
  </si>
  <si>
    <t>Total Federal Tax</t>
  </si>
  <si>
    <t>Federal Tax on Regular Amount (from tables)</t>
  </si>
  <si>
    <t>Items that make up Total Gross by Tax Method</t>
  </si>
  <si>
    <t>FedTax</t>
  </si>
  <si>
    <t>StateTax</t>
  </si>
  <si>
    <t>State Taxable Gross</t>
  </si>
  <si>
    <t>Total State Tax</t>
  </si>
  <si>
    <t>FEDERAL TAX TABLES SINGLE</t>
  </si>
  <si>
    <t>FEDERAL TAX TABLES MARRIED</t>
  </si>
  <si>
    <t>FEDERAL ALLOWANCE</t>
  </si>
  <si>
    <t>STATE ALLOWANCE</t>
  </si>
  <si>
    <t>STATE TAX TABLES SINGLE</t>
  </si>
  <si>
    <t>STATE TAX TABLES MARRIED</t>
  </si>
  <si>
    <t>State Tax on Regular Amount (from tables)</t>
  </si>
  <si>
    <t>Bracket</t>
  </si>
  <si>
    <t>Rate</t>
  </si>
  <si>
    <t>Tax</t>
  </si>
  <si>
    <t>Rate2</t>
  </si>
  <si>
    <t>Rate3</t>
  </si>
  <si>
    <t>Rate4</t>
  </si>
  <si>
    <t>Rate5</t>
  </si>
  <si>
    <t>Rate6</t>
  </si>
  <si>
    <t>Rate7</t>
  </si>
  <si>
    <t>no data</t>
  </si>
  <si>
    <t>Bracket2</t>
  </si>
  <si>
    <t>Bracket3</t>
  </si>
  <si>
    <t>Bracket4</t>
  </si>
  <si>
    <t>End of worksheet</t>
  </si>
  <si>
    <t>SEMCAL!B3 - Biweekly Gross (regular)</t>
  </si>
  <si>
    <t>SEMCAL!B4 - Converted Leave Gross (regular)</t>
  </si>
  <si>
    <t>SEMCAL!B13 - Personal Use Car - Dollars (regular)</t>
  </si>
  <si>
    <t>SEMCAL!B5 - Supplemental Gross (supplemental)</t>
  </si>
  <si>
    <t>SEMCAL!B12 - Taxable Mileage &amp; Meals (supplemental)</t>
  </si>
  <si>
    <t>SEMCAL!B11 - Taxable Insurance</t>
  </si>
  <si>
    <t>SEMCAL!B6 - Deferred Compensation</t>
  </si>
  <si>
    <t>SEMCAL!B8 - Converted Leave Deduction</t>
  </si>
  <si>
    <t>SEMCAL!B9 - Before-Tax Insurance</t>
  </si>
  <si>
    <t xml:space="preserve">SEMCAL!B10 - Depend-MedExp/Park/Bus/Van/HCSP/HSA </t>
  </si>
  <si>
    <t>Retirement (regular+supplemental+BB minus refunds)</t>
  </si>
  <si>
    <t>Total</t>
  </si>
  <si>
    <t>Regular</t>
  </si>
  <si>
    <t>Supplemental</t>
  </si>
  <si>
    <t>State Withholding Allowance times number exemptions claimed</t>
  </si>
  <si>
    <t>Annualized State Taxable Gross less State Withholding Allowance</t>
  </si>
  <si>
    <t>Annualized State Tax on Regular Taxable Gross (from tables)</t>
  </si>
  <si>
    <t>Additonal State Tax to Withhold</t>
  </si>
  <si>
    <t>Supplemental State Tax (Rate and Amount)</t>
  </si>
  <si>
    <t>Calculation of Regular Tax by Bracket</t>
  </si>
  <si>
    <t>Start</t>
  </si>
  <si>
    <t>Wages</t>
  </si>
  <si>
    <t>Next lowest</t>
  </si>
  <si>
    <t>Highest applicable bracket</t>
  </si>
  <si>
    <t>Federal Withholding Allowance times number exemptions claimed</t>
  </si>
  <si>
    <t>Supplemental Federal Tax (Rate and Amount)</t>
  </si>
  <si>
    <t>Additional Federal Tax to Withhold</t>
  </si>
  <si>
    <t>Bracket5</t>
  </si>
  <si>
    <t>Bracket6</t>
  </si>
  <si>
    <t>Bracket7</t>
  </si>
  <si>
    <t>Sum of Regular Annualized State Tax</t>
  </si>
  <si>
    <t>Regular Tax</t>
  </si>
  <si>
    <t>empty spacer row</t>
  </si>
  <si>
    <t>Not Applicable</t>
  </si>
  <si>
    <t>Tax Method Percent</t>
  </si>
  <si>
    <t>For Screen Readers: 
Navigation tips: 1. To navigate through worksheet tabs, press Ctrl + Page Down . 2. Use arrows to navigate instead of the tab key. 
end of screen reader tips.</t>
  </si>
  <si>
    <t>end of worksheet</t>
  </si>
  <si>
    <t>Sum of Regular Federal Tax</t>
  </si>
  <si>
    <t>Annualized Federal Tax on Regular Taxable Gross (from tables)</t>
  </si>
  <si>
    <t>Annualized Federal Taxable Gross less Withholding Allowance</t>
  </si>
  <si>
    <t>NET PAY CALCULATOR effective 01/02/2025 [for 2019 and older W-4s]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</si>
</sst>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164" formatCode="0_)"/>
    <numFmt numFmtId="165" formatCode="0.000%"/>
    <numFmt numFmtId="166" formatCode="0.00_)"/>
    <numFmt numFmtId="167" formatCode="&quot;$&quot;#,##0.00"/>
    <numFmt numFmtId="168" formatCode="0.000"/>
    <numFmt numFmtId="169" formatCode="0.0000"/>
    <numFmt numFmtId="170" formatCode="0.000000"/>
    <numFmt numFmtId="171" formatCode="#,##0.0000"/>
  </numFmts>
  <fonts count="22">
    <font>
      <sz val="12"/>
      <name val="SWISS"/>
    </font>
    <font>
      <sz val="10"/>
      <color indexed="12"/>
      <name val="Courier"/>
      <family val="3"/>
    </font>
    <font>
      <sz val="10"/>
      <name val="SWISS"/>
    </font>
    <font>
      <sz val="8"/>
      <name val="SWISS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2"/>
      <name val="SWIS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00FF"/>
      <name val="Times New Roman"/>
      <family val="1"/>
    </font>
    <font>
      <sz val="12"/>
      <color theme="0"/>
      <name val="SWISS"/>
    </font>
    <font>
      <sz val="10"/>
      <color rgb="FF0000FF"/>
      <name val="SWISS"/>
    </font>
    <font>
      <sz val="12"/>
      <color theme="0"/>
      <name val="Calibri"/>
      <family val="2"/>
      <scheme val="minor"/>
    </font>
    <font>
      <sz val="2"/>
      <color theme="0"/>
      <name val="Arial"/>
      <family val="2"/>
    </font>
    <font>
      <sz val="12"/>
      <color theme="0"/>
      <name val="Arial MT"/>
    </font>
    <font>
      <b/>
      <sz val="10"/>
      <name val="Times New Roman"/>
      <family val="1"/>
    </font>
    <font>
      <sz val="1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10"/>
        <bgColor indexed="10"/>
      </patternFill>
    </fill>
    <fill>
      <patternFill patternType="solid">
        <fgColor indexed="12"/>
        <bgColor indexed="12"/>
      </patternFill>
    </fill>
    <fill>
      <patternFill patternType="solid">
        <fgColor indexed="10"/>
        <bgColor indexed="13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0000"/>
        <bgColor indexed="10"/>
      </patternFill>
    </fill>
    <fill>
      <patternFill patternType="solid">
        <fgColor rgb="FFFFFF00"/>
        <bgColor indexed="10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">
    <xf numFmtId="166" fontId="0" fillId="0" borderId="0"/>
    <xf numFmtId="0" fontId="7" fillId="6" borderId="0" applyNumberFormat="0" applyBorder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23" applyNumberFormat="0" applyFill="0" applyAlignment="0" applyProtection="0"/>
    <xf numFmtId="4" fontId="21" fillId="0" borderId="0" applyFont="0" applyFill="0" applyBorder="0" applyAlignment="0" applyProtection="0"/>
  </cellStyleXfs>
  <cellXfs count="90">
    <xf numFmtId="166" fontId="0" fillId="0" borderId="0" xfId="0"/>
    <xf numFmtId="166" fontId="0" fillId="0" borderId="0" xfId="0" applyProtection="1"/>
    <xf numFmtId="7" fontId="0" fillId="0" borderId="0" xfId="0" applyNumberFormat="1" applyProtection="1"/>
    <xf numFmtId="166" fontId="2" fillId="0" borderId="2" xfId="0" applyFont="1" applyBorder="1" applyProtection="1"/>
    <xf numFmtId="7" fontId="4" fillId="2" borderId="3" xfId="0" applyNumberFormat="1" applyFont="1" applyFill="1" applyBorder="1" applyProtection="1">
      <protection locked="0"/>
    </xf>
    <xf numFmtId="166" fontId="2" fillId="0" borderId="1" xfId="0" applyFont="1" applyBorder="1" applyProtection="1"/>
    <xf numFmtId="165" fontId="4" fillId="2" borderId="4" xfId="0" applyNumberFormat="1" applyFont="1" applyFill="1" applyBorder="1" applyProtection="1">
      <protection locked="0"/>
    </xf>
    <xf numFmtId="7" fontId="5" fillId="0" borderId="4" xfId="0" applyNumberFormat="1" applyFont="1" applyBorder="1" applyProtection="1"/>
    <xf numFmtId="7" fontId="4" fillId="2" borderId="4" xfId="0" applyNumberFormat="1" applyFont="1" applyFill="1" applyBorder="1" applyProtection="1">
      <protection locked="0"/>
    </xf>
    <xf numFmtId="164" fontId="4" fillId="2" borderId="3" xfId="0" applyNumberFormat="1" applyFont="1" applyFill="1" applyBorder="1" applyProtection="1">
      <protection locked="0"/>
    </xf>
    <xf numFmtId="166" fontId="2" fillId="4" borderId="1" xfId="0" applyFont="1" applyFill="1" applyBorder="1" applyProtection="1"/>
    <xf numFmtId="166" fontId="5" fillId="4" borderId="6" xfId="0" applyFont="1" applyFill="1" applyBorder="1" applyProtection="1"/>
    <xf numFmtId="7" fontId="5" fillId="0" borderId="7" xfId="0" applyNumberFormat="1" applyFont="1" applyBorder="1" applyProtection="1"/>
    <xf numFmtId="7" fontId="5" fillId="0" borderId="8" xfId="0" applyNumberFormat="1" applyFont="1" applyBorder="1" applyProtection="1"/>
    <xf numFmtId="7" fontId="4" fillId="2" borderId="9" xfId="0" applyNumberFormat="1" applyFont="1" applyFill="1" applyBorder="1" applyProtection="1">
      <protection locked="0"/>
    </xf>
    <xf numFmtId="166" fontId="2" fillId="4" borderId="6" xfId="0" applyFont="1" applyFill="1" applyBorder="1" applyProtection="1"/>
    <xf numFmtId="166" fontId="0" fillId="0" borderId="0" xfId="0" applyBorder="1" applyProtection="1"/>
    <xf numFmtId="7" fontId="4" fillId="2" borderId="11" xfId="0" applyNumberFormat="1" applyFont="1" applyFill="1" applyBorder="1" applyProtection="1">
      <protection locked="0"/>
    </xf>
    <xf numFmtId="166" fontId="2" fillId="4" borderId="0" xfId="0" applyFont="1" applyFill="1" applyBorder="1" applyProtection="1"/>
    <xf numFmtId="164" fontId="4" fillId="2" borderId="4" xfId="0" applyNumberFormat="1" applyFont="1" applyFill="1" applyBorder="1" applyProtection="1">
      <protection locked="0"/>
    </xf>
    <xf numFmtId="166" fontId="2" fillId="0" borderId="1" xfId="0" quotePrefix="1" applyFont="1" applyBorder="1" applyProtection="1"/>
    <xf numFmtId="7" fontId="4" fillId="2" borderId="13" xfId="0" applyNumberFormat="1" applyFont="1" applyFill="1" applyBorder="1" applyProtection="1">
      <protection locked="0"/>
    </xf>
    <xf numFmtId="7" fontId="14" fillId="8" borderId="4" xfId="0" applyNumberFormat="1" applyFont="1" applyFill="1" applyBorder="1" applyProtection="1">
      <protection locked="0"/>
    </xf>
    <xf numFmtId="7" fontId="5" fillId="8" borderId="4" xfId="0" applyNumberFormat="1" applyFont="1" applyFill="1" applyBorder="1" applyProtection="1">
      <protection locked="0"/>
    </xf>
    <xf numFmtId="7" fontId="5" fillId="0" borderId="4" xfId="0" applyNumberFormat="1" applyFont="1" applyFill="1" applyBorder="1" applyProtection="1"/>
    <xf numFmtId="168" fontId="0" fillId="0" borderId="0" xfId="0" applyNumberFormat="1" applyProtection="1"/>
    <xf numFmtId="166" fontId="12" fillId="0" borderId="0" xfId="5" applyNumberFormat="1" applyProtection="1"/>
    <xf numFmtId="166" fontId="12" fillId="0" borderId="0" xfId="5" applyNumberFormat="1" applyAlignment="1" applyProtection="1">
      <alignment horizontal="right"/>
    </xf>
    <xf numFmtId="166" fontId="9" fillId="0" borderId="20" xfId="2" applyNumberFormat="1" applyProtection="1"/>
    <xf numFmtId="166" fontId="9" fillId="0" borderId="20" xfId="2" applyNumberFormat="1" applyAlignment="1" applyProtection="1">
      <alignment horizontal="center" vertical="center" wrapText="1"/>
    </xf>
    <xf numFmtId="166" fontId="13" fillId="0" borderId="23" xfId="6" applyNumberFormat="1" applyProtection="1"/>
    <xf numFmtId="170" fontId="13" fillId="0" borderId="23" xfId="6" applyNumberFormat="1" applyProtection="1"/>
    <xf numFmtId="166" fontId="13" fillId="0" borderId="23" xfId="6" applyNumberFormat="1" applyAlignment="1" applyProtection="1">
      <alignment horizontal="left" vertical="center"/>
    </xf>
    <xf numFmtId="166" fontId="9" fillId="0" borderId="20" xfId="2" applyNumberFormat="1" applyAlignment="1" applyProtection="1">
      <alignment horizontal="left" vertical="center"/>
    </xf>
    <xf numFmtId="169" fontId="0" fillId="0" borderId="0" xfId="0" applyNumberFormat="1" applyProtection="1"/>
    <xf numFmtId="166" fontId="0" fillId="0" borderId="0" xfId="0" applyProtection="1">
      <protection locked="0"/>
    </xf>
    <xf numFmtId="7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6" fontId="6" fillId="0" borderId="16" xfId="0" applyFont="1" applyBorder="1" applyProtection="1"/>
    <xf numFmtId="166" fontId="0" fillId="0" borderId="17" xfId="0" applyBorder="1" applyProtection="1"/>
    <xf numFmtId="14" fontId="3" fillId="0" borderId="18" xfId="0" applyNumberFormat="1" applyFont="1" applyBorder="1" applyAlignment="1" applyProtection="1">
      <alignment horizontal="right"/>
    </xf>
    <xf numFmtId="166" fontId="6" fillId="0" borderId="0" xfId="0" applyFont="1" applyProtection="1">
      <protection locked="0"/>
    </xf>
    <xf numFmtId="166" fontId="0" fillId="0" borderId="0" xfId="0" applyAlignment="1" applyProtection="1">
      <alignment horizontal="right" wrapText="1"/>
      <protection locked="0"/>
    </xf>
    <xf numFmtId="166" fontId="0" fillId="0" borderId="0" xfId="0" applyAlignment="1" applyProtection="1">
      <alignment horizontal="right"/>
      <protection locked="0"/>
    </xf>
    <xf numFmtId="1" fontId="0" fillId="0" borderId="0" xfId="0" applyNumberFormat="1" applyAlignment="1" applyProtection="1">
      <alignment horizontal="right"/>
      <protection locked="0"/>
    </xf>
    <xf numFmtId="166" fontId="2" fillId="0" borderId="0" xfId="0" applyFont="1" applyBorder="1" applyAlignment="1" applyProtection="1">
      <alignment horizontal="right"/>
      <protection locked="0"/>
    </xf>
    <xf numFmtId="166" fontId="2" fillId="0" borderId="0" xfId="0" applyFont="1" applyProtection="1">
      <protection locked="0"/>
    </xf>
    <xf numFmtId="39" fontId="2" fillId="0" borderId="0" xfId="0" applyNumberFormat="1" applyFont="1" applyProtection="1">
      <protection locked="0"/>
    </xf>
    <xf numFmtId="166" fontId="2" fillId="0" borderId="0" xfId="0" applyFont="1" applyFill="1" applyBorder="1" applyProtection="1">
      <protection locked="0"/>
    </xf>
    <xf numFmtId="168" fontId="2" fillId="0" borderId="0" xfId="0" applyNumberFormat="1" applyFont="1" applyProtection="1">
      <protection locked="0"/>
    </xf>
    <xf numFmtId="10" fontId="2" fillId="0" borderId="0" xfId="0" applyNumberFormat="1" applyFont="1" applyBorder="1" applyProtection="1">
      <protection locked="0"/>
    </xf>
    <xf numFmtId="166" fontId="2" fillId="0" borderId="0" xfId="0" applyFont="1" applyBorder="1" applyProtection="1">
      <protection locked="0"/>
    </xf>
    <xf numFmtId="7" fontId="2" fillId="0" borderId="0" xfId="0" applyNumberFormat="1" applyFont="1" applyFill="1" applyBorder="1" applyProtection="1">
      <protection locked="0"/>
    </xf>
    <xf numFmtId="7" fontId="2" fillId="0" borderId="0" xfId="0" applyNumberFormat="1" applyFont="1" applyProtection="1">
      <protection locked="0"/>
    </xf>
    <xf numFmtId="10" fontId="2" fillId="0" borderId="0" xfId="0" applyNumberFormat="1" applyFont="1" applyProtection="1">
      <protection locked="0"/>
    </xf>
    <xf numFmtId="166" fontId="0" fillId="0" borderId="0" xfId="0" applyBorder="1" applyProtection="1">
      <protection locked="0"/>
    </xf>
    <xf numFmtId="166" fontId="7" fillId="6" borderId="20" xfId="1" applyNumberFormat="1" applyBorder="1" applyProtection="1"/>
    <xf numFmtId="166" fontId="9" fillId="0" borderId="20" xfId="2" applyNumberFormat="1" applyAlignment="1" applyProtection="1">
      <alignment horizontal="center"/>
    </xf>
    <xf numFmtId="166" fontId="9" fillId="0" borderId="20" xfId="2" applyNumberFormat="1" applyAlignment="1" applyProtection="1">
      <alignment horizontal="right"/>
    </xf>
    <xf numFmtId="4" fontId="0" fillId="0" borderId="0" xfId="0" applyNumberFormat="1" applyProtection="1"/>
    <xf numFmtId="166" fontId="10" fillId="0" borderId="21" xfId="3" applyNumberFormat="1" applyAlignment="1" applyProtection="1">
      <alignment horizontal="right"/>
    </xf>
    <xf numFmtId="166" fontId="11" fillId="0" borderId="22" xfId="4" applyNumberFormat="1" applyProtection="1"/>
    <xf numFmtId="168" fontId="11" fillId="0" borderId="22" xfId="4" applyNumberFormat="1" applyProtection="1"/>
    <xf numFmtId="166" fontId="15" fillId="0" borderId="19" xfId="0" applyFont="1" applyFill="1" applyBorder="1" applyProtection="1"/>
    <xf numFmtId="166" fontId="0" fillId="0" borderId="0" xfId="0" applyAlignment="1" applyProtection="1">
      <alignment horizontal="center"/>
    </xf>
    <xf numFmtId="166" fontId="13" fillId="0" borderId="23" xfId="6" applyNumberFormat="1" applyAlignment="1" applyProtection="1">
      <alignment horizontal="right" vertical="center"/>
    </xf>
    <xf numFmtId="166" fontId="13" fillId="0" borderId="23" xfId="6" applyNumberFormat="1" applyAlignment="1" applyProtection="1">
      <alignment horizontal="right"/>
    </xf>
    <xf numFmtId="169" fontId="13" fillId="0" borderId="23" xfId="6" applyNumberFormat="1" applyProtection="1"/>
    <xf numFmtId="171" fontId="0" fillId="0" borderId="0" xfId="0" applyNumberFormat="1" applyProtection="1"/>
    <xf numFmtId="171" fontId="13" fillId="0" borderId="23" xfId="6" applyNumberFormat="1" applyProtection="1"/>
    <xf numFmtId="166" fontId="9" fillId="0" borderId="20" xfId="2" applyNumberFormat="1"/>
    <xf numFmtId="166" fontId="16" fillId="4" borderId="2" xfId="0" applyFont="1" applyFill="1" applyBorder="1" applyProtection="1"/>
    <xf numFmtId="166" fontId="16" fillId="4" borderId="19" xfId="0" applyFont="1" applyFill="1" applyBorder="1" applyProtection="1"/>
    <xf numFmtId="166" fontId="17" fillId="0" borderId="0" xfId="0" applyFont="1" applyProtection="1"/>
    <xf numFmtId="166" fontId="8" fillId="0" borderId="0" xfId="0" applyFont="1" applyProtection="1"/>
    <xf numFmtId="49" fontId="1" fillId="0" borderId="1" xfId="0" applyNumberFormat="1" applyFont="1" applyBorder="1" applyProtection="1">
      <protection locked="0"/>
    </xf>
    <xf numFmtId="166" fontId="18" fillId="0" borderId="0" xfId="0" applyFont="1" applyAlignment="1" applyProtection="1">
      <alignment vertical="top" wrapText="1"/>
    </xf>
    <xf numFmtId="166" fontId="19" fillId="0" borderId="0" xfId="0" applyFont="1" applyAlignment="1" applyProtection="1">
      <alignment vertical="top" wrapText="1"/>
    </xf>
    <xf numFmtId="7" fontId="20" fillId="3" borderId="5" xfId="0" applyNumberFormat="1" applyFont="1" applyFill="1" applyBorder="1" applyProtection="1"/>
    <xf numFmtId="7" fontId="20" fillId="3" borderId="14" xfId="0" applyNumberFormat="1" applyFont="1" applyFill="1" applyBorder="1" applyProtection="1"/>
    <xf numFmtId="7" fontId="20" fillId="3" borderId="12" xfId="0" applyNumberFormat="1" applyFont="1" applyFill="1" applyBorder="1" applyProtection="1"/>
    <xf numFmtId="7" fontId="20" fillId="3" borderId="4" xfId="0" applyNumberFormat="1" applyFont="1" applyFill="1" applyBorder="1" applyProtection="1"/>
    <xf numFmtId="7" fontId="20" fillId="5" borderId="4" xfId="0" applyNumberFormat="1" applyFont="1" applyFill="1" applyBorder="1" applyProtection="1"/>
    <xf numFmtId="7" fontId="20" fillId="9" borderId="4" xfId="0" applyNumberFormat="1" applyFont="1" applyFill="1" applyBorder="1" applyProtection="1"/>
    <xf numFmtId="7" fontId="20" fillId="7" borderId="4" xfId="0" applyNumberFormat="1" applyFont="1" applyFill="1" applyBorder="1" applyProtection="1"/>
    <xf numFmtId="167" fontId="20" fillId="9" borderId="15" xfId="0" applyNumberFormat="1" applyFont="1" applyFill="1" applyBorder="1" applyProtection="1"/>
    <xf numFmtId="7" fontId="20" fillId="3" borderId="10" xfId="0" applyNumberFormat="1" applyFont="1" applyFill="1" applyBorder="1" applyProtection="1"/>
    <xf numFmtId="4" fontId="0" fillId="0" borderId="0" xfId="7" applyFont="1"/>
    <xf numFmtId="168" fontId="0" fillId="0" borderId="0" xfId="0" applyNumberFormat="1"/>
    <xf numFmtId="169" fontId="0" fillId="0" borderId="0" xfId="0" applyNumberFormat="1"/>
  </cellXfs>
  <cellStyles count="8">
    <cellStyle name="40% - Accent1" xfId="1" builtinId="31"/>
    <cellStyle name="Heading 1" xfId="2" builtinId="16"/>
    <cellStyle name="Heading 2" xfId="3" builtinId="17"/>
    <cellStyle name="Heading 3" xfId="4" builtinId="18"/>
    <cellStyle name="Normal" xfId="0" builtinId="0"/>
    <cellStyle name="PSDec" xfId="7" xr:uid="{B9A987AB-1A35-4667-9512-C113F7587D45}"/>
    <cellStyle name="Title" xfId="5" builtinId="15"/>
    <cellStyle name="Total" xfId="6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A1:AJ29"/>
  <sheetViews>
    <sheetView showGridLines="0" tabSelected="1" defaultGridColor="0" colorId="59" zoomScaleNormal="100" workbookViewId="0"/>
  </sheetViews>
  <sheetFormatPr defaultColWidth="0" defaultRowHeight="15" zeroHeight="1"/>
  <cols>
    <col min="1" max="1" width="28.77734375" style="35" customWidth="1"/>
    <col min="2" max="2" width="11.77734375" style="35" customWidth="1"/>
    <col min="3" max="3" width="25.77734375" style="35" customWidth="1"/>
    <col min="4" max="4" width="12.77734375" style="35" customWidth="1"/>
    <col min="5" max="5" width="11.77734375" style="35" customWidth="1"/>
    <col min="6" max="6" width="54.77734375" style="35" hidden="1" customWidth="1"/>
    <col min="7" max="7" width="13.77734375" style="35" hidden="1" customWidth="1"/>
    <col min="8" max="8" width="14.77734375" style="35" hidden="1" customWidth="1"/>
    <col min="9" max="9" width="12.77734375" style="35" hidden="1" customWidth="1"/>
    <col min="10" max="12" width="0" style="35" hidden="1" customWidth="1"/>
    <col min="13" max="13" width="20.77734375" style="35" hidden="1" customWidth="1"/>
    <col min="14" max="20" width="0" style="35" hidden="1" customWidth="1"/>
    <col min="21" max="21" width="31.77734375" style="35" hidden="1" customWidth="1"/>
    <col min="22" max="22" width="1.77734375" style="35" hidden="1" customWidth="1"/>
    <col min="23" max="23" width="11.77734375" style="35" hidden="1" customWidth="1"/>
    <col min="24" max="24" width="12.77734375" style="35" hidden="1" customWidth="1"/>
    <col min="25" max="25" width="11.77734375" style="35" hidden="1" customWidth="1"/>
    <col min="26" max="26" width="23.77734375" style="35" hidden="1" customWidth="1"/>
    <col min="27" max="27" width="30.77734375" style="35" hidden="1" customWidth="1"/>
    <col min="28" max="28" width="1.77734375" style="35" hidden="1" customWidth="1"/>
    <col min="29" max="30" width="12.77734375" style="35" hidden="1" customWidth="1"/>
    <col min="31" max="32" width="11.77734375" style="35" hidden="1" customWidth="1"/>
    <col min="33" max="35" width="0" style="35" hidden="1" customWidth="1"/>
    <col min="36" max="36" width="12.77734375" style="35" hidden="1" customWidth="1"/>
    <col min="37" max="16384" width="0" style="35" hidden="1"/>
  </cols>
  <sheetData>
    <row r="1" spans="1:6" ht="16.5" thickBot="1">
      <c r="A1" s="76" t="s">
        <v>117</v>
      </c>
      <c r="B1" s="77"/>
      <c r="C1" s="77"/>
      <c r="D1" s="77"/>
      <c r="E1" s="1"/>
    </row>
    <row r="2" spans="1:6" ht="16.5" thickBot="1">
      <c r="A2" s="38" t="s">
        <v>122</v>
      </c>
      <c r="B2" s="39"/>
      <c r="C2" s="39"/>
      <c r="D2" s="40"/>
      <c r="E2" s="1"/>
    </row>
    <row r="3" spans="1:6">
      <c r="A3" s="3" t="s">
        <v>0</v>
      </c>
      <c r="B3" s="4"/>
      <c r="C3" s="20" t="s">
        <v>1</v>
      </c>
      <c r="D3" s="19">
        <v>2</v>
      </c>
      <c r="E3" s="1"/>
    </row>
    <row r="4" spans="1:6">
      <c r="A4" s="3" t="s">
        <v>20</v>
      </c>
      <c r="B4" s="4"/>
      <c r="C4" s="5" t="s">
        <v>23</v>
      </c>
      <c r="D4" s="6">
        <v>5.5E-2</v>
      </c>
      <c r="E4" s="1"/>
    </row>
    <row r="5" spans="1:6">
      <c r="A5" s="3" t="s">
        <v>3</v>
      </c>
      <c r="B5" s="4"/>
      <c r="C5" s="5" t="s">
        <v>34</v>
      </c>
      <c r="D5" s="6">
        <v>0</v>
      </c>
      <c r="E5" s="1"/>
    </row>
    <row r="6" spans="1:6">
      <c r="A6" s="3" t="s">
        <v>33</v>
      </c>
      <c r="B6" s="4"/>
      <c r="C6" s="5" t="s">
        <v>24</v>
      </c>
      <c r="D6" s="7">
        <f>B3+B5+D7+D8</f>
        <v>0</v>
      </c>
      <c r="E6" s="1"/>
    </row>
    <row r="7" spans="1:6">
      <c r="A7" s="3" t="s">
        <v>38</v>
      </c>
      <c r="B7" s="4"/>
      <c r="C7" s="5" t="s">
        <v>25</v>
      </c>
      <c r="D7" s="8">
        <v>0</v>
      </c>
      <c r="E7" s="1"/>
    </row>
    <row r="8" spans="1:6">
      <c r="A8" s="3" t="s">
        <v>21</v>
      </c>
      <c r="B8" s="4"/>
      <c r="C8" s="5" t="s">
        <v>4</v>
      </c>
      <c r="D8" s="17">
        <v>0</v>
      </c>
      <c r="E8" s="16"/>
    </row>
    <row r="9" spans="1:6">
      <c r="A9" s="3" t="s">
        <v>22</v>
      </c>
      <c r="B9" s="4"/>
      <c r="C9" s="5" t="s">
        <v>26</v>
      </c>
      <c r="D9" s="8">
        <v>0</v>
      </c>
      <c r="E9" s="1"/>
    </row>
    <row r="10" spans="1:6">
      <c r="A10" s="3" t="s">
        <v>39</v>
      </c>
      <c r="B10" s="4"/>
      <c r="C10" s="5" t="s">
        <v>35</v>
      </c>
      <c r="D10" s="81">
        <f>ROUND((D4*D6),2)</f>
        <v>0</v>
      </c>
      <c r="E10" s="1"/>
      <c r="F10" s="35" t="s">
        <v>2</v>
      </c>
    </row>
    <row r="11" spans="1:6">
      <c r="A11" s="3" t="s">
        <v>18</v>
      </c>
      <c r="B11" s="4"/>
      <c r="C11" s="5" t="s">
        <v>36</v>
      </c>
      <c r="D11" s="82">
        <f>ROUND((D5*D9),2)</f>
        <v>0</v>
      </c>
      <c r="E11" s="1"/>
    </row>
    <row r="12" spans="1:6">
      <c r="A12" s="3" t="s">
        <v>5</v>
      </c>
      <c r="B12" s="4"/>
      <c r="C12" s="5" t="s">
        <v>27</v>
      </c>
      <c r="D12" s="8">
        <v>0</v>
      </c>
      <c r="E12" s="1"/>
    </row>
    <row r="13" spans="1:6">
      <c r="A13" s="3" t="s">
        <v>6</v>
      </c>
      <c r="B13" s="4"/>
      <c r="C13" s="5" t="s">
        <v>37</v>
      </c>
      <c r="D13" s="8">
        <v>0</v>
      </c>
      <c r="E13" s="1"/>
    </row>
    <row r="14" spans="1:6">
      <c r="A14" s="3" t="s">
        <v>7</v>
      </c>
      <c r="B14" s="9"/>
      <c r="C14" s="5" t="s">
        <v>28</v>
      </c>
      <c r="D14" s="7">
        <f>IF(OR($D$3&lt;&gt;2,D16&gt;=TaxTable!D15),0,IF((B3+B4+B5+B7+B11+B12+B13-D15-B9-B10)+D16&gt;TaxTable!D15,TaxTable!D15-D16,B3+B4+B5+B7+B11+B12+B13-D15-B9-B10))</f>
        <v>0</v>
      </c>
      <c r="E14" s="1"/>
    </row>
    <row r="15" spans="1:6">
      <c r="A15" s="3" t="s">
        <v>8</v>
      </c>
      <c r="B15" s="9"/>
      <c r="C15" s="5" t="s">
        <v>44</v>
      </c>
      <c r="D15" s="8">
        <v>0</v>
      </c>
      <c r="E15" s="1"/>
    </row>
    <row r="16" spans="1:6">
      <c r="A16" s="3" t="s">
        <v>9</v>
      </c>
      <c r="B16" s="9"/>
      <c r="C16" s="5" t="s">
        <v>45</v>
      </c>
      <c r="D16" s="23">
        <v>0</v>
      </c>
      <c r="E16" s="1"/>
    </row>
    <row r="17" spans="1:33">
      <c r="A17" s="3" t="s">
        <v>10</v>
      </c>
      <c r="B17" s="4"/>
      <c r="C17" s="5" t="s">
        <v>29</v>
      </c>
      <c r="D17" s="83">
        <f>ROUND(IF($D$3=2,$D$14*0.062,0),2)</f>
        <v>0</v>
      </c>
      <c r="E17" s="1"/>
    </row>
    <row r="18" spans="1:33" ht="15.75" thickBot="1">
      <c r="A18" s="3" t="s">
        <v>32</v>
      </c>
      <c r="B18" s="21"/>
      <c r="C18" s="5" t="s">
        <v>46</v>
      </c>
      <c r="D18" s="24">
        <f>IF($D$3=3,0,B3+B4+B5+B7+B11+B12+B13-D19-B9-B10)</f>
        <v>0</v>
      </c>
      <c r="E18" s="1"/>
    </row>
    <row r="19" spans="1:33" ht="15.75" thickBot="1">
      <c r="A19" s="3" t="s">
        <v>11</v>
      </c>
      <c r="B19" s="78">
        <f>ROUND(IF($B$13=98,0,FedTax!C28),2)</f>
        <v>0</v>
      </c>
      <c r="C19" s="5" t="s">
        <v>30</v>
      </c>
      <c r="D19" s="23">
        <v>0</v>
      </c>
      <c r="E19" s="1"/>
    </row>
    <row r="20" spans="1:33" ht="15.75" thickBot="1">
      <c r="A20" s="3" t="s">
        <v>12</v>
      </c>
      <c r="B20" s="79">
        <f>ROUND(IF($B$14&gt;97,0,StateTax!C28),2)</f>
        <v>0</v>
      </c>
      <c r="C20" s="5" t="s">
        <v>43</v>
      </c>
      <c r="D20" s="22">
        <v>0</v>
      </c>
      <c r="E20" s="1"/>
    </row>
    <row r="21" spans="1:33" ht="15.75" thickBot="1">
      <c r="A21" s="3" t="s">
        <v>16</v>
      </c>
      <c r="B21" s="80">
        <f>FedTax!B21</f>
        <v>0</v>
      </c>
      <c r="C21" s="5" t="s">
        <v>31</v>
      </c>
      <c r="D21" s="84">
        <f>ROUND(IF($D$3=3,0,$D$18*0.0145),2)</f>
        <v>0</v>
      </c>
      <c r="E21" s="1"/>
    </row>
    <row r="22" spans="1:33" ht="15.75" thickBot="1">
      <c r="A22" s="3" t="s">
        <v>17</v>
      </c>
      <c r="B22" s="80">
        <f>StateTax!B21</f>
        <v>0</v>
      </c>
      <c r="C22" s="5" t="s">
        <v>41</v>
      </c>
      <c r="D22" s="85">
        <f>ROUND(IF(AND($D$20&lt;=200000,$D$18+$D$20&lt;=200000),0,IF(AND($D$18+$D$20&gt;200000,$D$20&lt;=200000),($D$18+$D$20-200000)*0.009,$D$18*0.009)),2)</f>
        <v>0</v>
      </c>
      <c r="E22" s="1"/>
    </row>
    <row r="23" spans="1:33" ht="15.75" thickBot="1">
      <c r="A23" s="71" t="s">
        <v>114</v>
      </c>
      <c r="B23" s="10"/>
      <c r="C23" s="10"/>
      <c r="D23" s="11"/>
      <c r="E23" s="1"/>
    </row>
    <row r="24" spans="1:33">
      <c r="A24" s="3" t="s">
        <v>13</v>
      </c>
      <c r="B24" s="5"/>
      <c r="C24" s="5"/>
      <c r="D24" s="12">
        <f>$B$19+$B$20+$D$17+$D$21+$D$22</f>
        <v>0</v>
      </c>
      <c r="E24" s="1"/>
    </row>
    <row r="25" spans="1:33">
      <c r="A25" s="3" t="s">
        <v>40</v>
      </c>
      <c r="B25" s="5"/>
      <c r="C25" s="5"/>
      <c r="D25" s="13">
        <f>B6+B9+B10+D10+D11-D12+D13+B8</f>
        <v>0</v>
      </c>
      <c r="E25" s="1"/>
    </row>
    <row r="26" spans="1:33" ht="15.75" thickBot="1">
      <c r="A26" s="3" t="s">
        <v>19</v>
      </c>
      <c r="B26" s="5"/>
      <c r="C26" s="5"/>
      <c r="D26" s="14"/>
      <c r="E26" s="1"/>
      <c r="AG26" s="36"/>
    </row>
    <row r="27" spans="1:33">
      <c r="A27" s="3" t="s">
        <v>14</v>
      </c>
      <c r="B27" s="75" t="s">
        <v>2</v>
      </c>
      <c r="C27" s="5"/>
      <c r="D27" s="86">
        <f>$B$3+$B$4+$B$5-$D$24-$D$25-$D$26+$B$12</f>
        <v>0</v>
      </c>
      <c r="E27" s="1"/>
      <c r="AG27" s="37"/>
    </row>
    <row r="28" spans="1:33">
      <c r="A28" s="72" t="s">
        <v>114</v>
      </c>
      <c r="B28" s="18"/>
      <c r="C28" s="18"/>
      <c r="D28" s="15"/>
      <c r="E28" s="1"/>
      <c r="AG28" s="36"/>
    </row>
    <row r="29" spans="1:33">
      <c r="A29" s="63" t="s">
        <v>118</v>
      </c>
      <c r="B29" s="2" t="s">
        <v>15</v>
      </c>
      <c r="C29" s="1"/>
      <c r="D29" s="1"/>
      <c r="E29" s="1"/>
    </row>
  </sheetData>
  <sheetProtection algorithmName="SHA-512" hashValue="2zlss+fMOyWm+kv7reGBI+7pXfXVKZ7m87I/ANyjTAEO8AgFC7vEjjgSHU7nooTqcvIiMieDtmcuAOewUM9Jqg==" saltValue="Vhz1Y3c8Q/XxvsagOpYYrQ==" spinCount="100000" sheet="1" objects="1" scenarios="1"/>
  <phoneticPr fontId="3" type="noConversion"/>
  <dataValidations count="4">
    <dataValidation type="decimal" allowBlank="1" showInputMessage="1" showErrorMessage="1" error="Enter Percentages Only" sqref="D4:D5" xr:uid="{00000000-0002-0000-0000-000000000000}">
      <formula1>-999.999</formula1>
      <formula2>999.999</formula2>
    </dataValidation>
    <dataValidation type="whole" allowBlank="1" showInputMessage="1" showErrorMessage="1" error="Enter 1, 2 or 3 Only" sqref="D3" xr:uid="{00000000-0002-0000-0000-000001000000}">
      <formula1>1</formula1>
      <formula2>3</formula2>
    </dataValidation>
    <dataValidation type="whole" allowBlank="1" showInputMessage="1" showErrorMessage="1" error="Enter 1 or 2 Only" sqref="B16" xr:uid="{00000000-0002-0000-0000-000002000000}">
      <formula1>1</formula1>
      <formula2>2</formula2>
    </dataValidation>
    <dataValidation type="whole" allowBlank="1" showInputMessage="1" showErrorMessage="1" error="Enter whole numbers 0-99 Only" sqref="B14:B15" xr:uid="{00000000-0002-0000-0000-000003000000}">
      <formula1>0</formula1>
      <formula2>99</formula2>
    </dataValidation>
  </dataValidations>
  <pageMargins left="0.5" right="0.25" top="0.85" bottom="0.22" header="0.5" footer="0.34"/>
  <pageSetup orientation="landscape" horizontalDpi="300" verticalDpi="300" r:id="rId1"/>
  <headerFooter alignWithMargins="0">
    <oddHeader>&amp;LMinnesota Mgmt &amp; Budget&amp;C&amp;F&amp;R&amp;D &amp;T</oddHeader>
    <oddFooter>&amp;C&amp;A&amp;R&amp;P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F78"/>
  <sheetViews>
    <sheetView zoomScaleNormal="100" workbookViewId="0">
      <pane ySplit="2" topLeftCell="A3" activePane="bottomLeft" state="frozen"/>
      <selection pane="bottomLeft"/>
    </sheetView>
  </sheetViews>
  <sheetFormatPr defaultColWidth="0" defaultRowHeight="15" zeroHeight="1"/>
  <cols>
    <col min="1" max="1" width="55.109375" style="35" customWidth="1"/>
    <col min="2" max="3" width="11.77734375" style="35" customWidth="1"/>
    <col min="4" max="4" width="14.21875" style="35" customWidth="1"/>
    <col min="5" max="5" width="18.21875" style="35" customWidth="1"/>
    <col min="6" max="6" width="9.44140625" style="35" bestFit="1" customWidth="1"/>
    <col min="7" max="16384" width="0" style="35" hidden="1"/>
  </cols>
  <sheetData>
    <row r="1" spans="1:6" ht="15.75">
      <c r="A1" s="76" t="s">
        <v>117</v>
      </c>
      <c r="B1" s="77"/>
      <c r="C1" s="77"/>
      <c r="D1" s="77"/>
      <c r="E1" s="1"/>
      <c r="F1" s="1"/>
    </row>
    <row r="2" spans="1:6" ht="22.5">
      <c r="A2" s="26" t="str">
        <f>SEMCAL!A2</f>
        <v>NET PAY CALCULATOR effective 01/02/2025 [for 2019 and older W-4s]</v>
      </c>
      <c r="B2" s="26"/>
      <c r="C2" s="26"/>
      <c r="D2" s="26"/>
      <c r="E2" s="27" t="s">
        <v>57</v>
      </c>
      <c r="F2" s="1"/>
    </row>
    <row r="3" spans="1:6" ht="20.25" thickBot="1">
      <c r="A3" s="28" t="s">
        <v>56</v>
      </c>
      <c r="B3" s="29" t="s">
        <v>93</v>
      </c>
      <c r="C3" s="29" t="s">
        <v>94</v>
      </c>
      <c r="D3" s="29" t="s">
        <v>95</v>
      </c>
      <c r="E3" s="28" t="str">
        <f>SEMCAL!B27</f>
        <v xml:space="preserve"> </v>
      </c>
      <c r="F3" s="1"/>
    </row>
    <row r="4" spans="1:6" ht="15.95" customHeight="1" thickTop="1">
      <c r="A4" s="1" t="s">
        <v>82</v>
      </c>
      <c r="B4" s="1">
        <f>SEMCAL!$B$3</f>
        <v>0</v>
      </c>
      <c r="C4" s="1">
        <f>SEMCAL!$B$3</f>
        <v>0</v>
      </c>
      <c r="D4" s="64" t="s">
        <v>115</v>
      </c>
      <c r="E4" s="1"/>
      <c r="F4" s="1"/>
    </row>
    <row r="5" spans="1:6" ht="15.95" customHeight="1">
      <c r="A5" s="1" t="s">
        <v>83</v>
      </c>
      <c r="B5" s="1">
        <f>SEMCAL!$B$4</f>
        <v>0</v>
      </c>
      <c r="C5" s="1">
        <f>SEMCAL!$B$4</f>
        <v>0</v>
      </c>
      <c r="D5" s="64" t="s">
        <v>115</v>
      </c>
      <c r="E5" s="1"/>
      <c r="F5" s="1"/>
    </row>
    <row r="6" spans="1:6" ht="15.95" customHeight="1">
      <c r="A6" s="1" t="s">
        <v>84</v>
      </c>
      <c r="B6" s="1">
        <f>SEMCAL!$B$13</f>
        <v>0</v>
      </c>
      <c r="C6" s="1">
        <f>SEMCAL!$B$13</f>
        <v>0</v>
      </c>
      <c r="D6" s="64" t="s">
        <v>115</v>
      </c>
      <c r="E6" s="1"/>
      <c r="F6" s="1"/>
    </row>
    <row r="7" spans="1:6" ht="15.95" customHeight="1">
      <c r="A7" s="1" t="s">
        <v>85</v>
      </c>
      <c r="B7" s="1">
        <f>SEMCAL!$B$5</f>
        <v>0</v>
      </c>
      <c r="C7" s="64" t="s">
        <v>115</v>
      </c>
      <c r="D7" s="1">
        <f>SEMCAL!$B$5</f>
        <v>0</v>
      </c>
      <c r="E7" s="1"/>
      <c r="F7" s="1"/>
    </row>
    <row r="8" spans="1:6" ht="15.95" customHeight="1">
      <c r="A8" s="1" t="s">
        <v>86</v>
      </c>
      <c r="B8" s="1">
        <f>SEMCAL!$B$12</f>
        <v>0</v>
      </c>
      <c r="C8" s="64" t="s">
        <v>115</v>
      </c>
      <c r="D8" s="1">
        <f>SEMCAL!$B$12</f>
        <v>0</v>
      </c>
      <c r="E8" s="1"/>
      <c r="F8" s="1"/>
    </row>
    <row r="9" spans="1:6" ht="16.5" thickBot="1">
      <c r="A9" s="32" t="s">
        <v>47</v>
      </c>
      <c r="B9" s="30">
        <f>ROUND(SUM(B4:B8),2)</f>
        <v>0</v>
      </c>
      <c r="C9" s="30">
        <f>SUM(C4:C8)</f>
        <v>0</v>
      </c>
      <c r="D9" s="30">
        <f>SUM(D4:D8)</f>
        <v>0</v>
      </c>
      <c r="E9" s="30"/>
      <c r="F9" s="1"/>
    </row>
    <row r="10" spans="1:6" ht="17.25" thickTop="1" thickBot="1">
      <c r="A10" s="65" t="s">
        <v>116</v>
      </c>
      <c r="B10" s="30"/>
      <c r="C10" s="31">
        <f>IF(C9&gt;0,C9/B9,0)</f>
        <v>0</v>
      </c>
      <c r="D10" s="31">
        <f>1-C10</f>
        <v>1</v>
      </c>
      <c r="E10" s="30"/>
      <c r="F10" s="1"/>
    </row>
    <row r="11" spans="1:6" ht="21" thickTop="1" thickBot="1">
      <c r="A11" s="28" t="s">
        <v>48</v>
      </c>
      <c r="B11" s="29" t="s">
        <v>93</v>
      </c>
      <c r="C11" s="29" t="s">
        <v>94</v>
      </c>
      <c r="D11" s="29" t="s">
        <v>95</v>
      </c>
      <c r="E11" s="28"/>
      <c r="F11" s="1"/>
    </row>
    <row r="12" spans="1:6" ht="15.75" thickTop="1">
      <c r="A12" s="1" t="s">
        <v>87</v>
      </c>
      <c r="B12" s="1">
        <f>SEMCAL!$B$11</f>
        <v>0</v>
      </c>
      <c r="C12" s="1">
        <f>B12*C10</f>
        <v>0</v>
      </c>
      <c r="D12" s="1">
        <f>B12*D10</f>
        <v>0</v>
      </c>
      <c r="E12" s="1"/>
      <c r="F12" s="1"/>
    </row>
    <row r="13" spans="1:6" ht="16.5" thickBot="1">
      <c r="A13" s="32" t="s">
        <v>51</v>
      </c>
      <c r="B13" s="30">
        <f>SUM(B12)</f>
        <v>0</v>
      </c>
      <c r="C13" s="30">
        <f>SUM(C12)</f>
        <v>0</v>
      </c>
      <c r="D13" s="30">
        <f>SUM(D12)</f>
        <v>0</v>
      </c>
      <c r="E13" s="30"/>
      <c r="F13" s="1"/>
    </row>
    <row r="14" spans="1:6" ht="21" thickTop="1" thickBot="1">
      <c r="A14" s="28" t="s">
        <v>49</v>
      </c>
      <c r="B14" s="29" t="s">
        <v>93</v>
      </c>
      <c r="C14" s="29" t="s">
        <v>94</v>
      </c>
      <c r="D14" s="29" t="s">
        <v>95</v>
      </c>
      <c r="E14" s="28"/>
      <c r="F14" s="1"/>
    </row>
    <row r="15" spans="1:6" ht="15.95" customHeight="1" thickTop="1">
      <c r="A15" s="1" t="s">
        <v>88</v>
      </c>
      <c r="B15" s="1">
        <f>SEMCAL!$B$6</f>
        <v>0</v>
      </c>
      <c r="C15" s="1">
        <f>B15*C10</f>
        <v>0</v>
      </c>
      <c r="D15" s="1">
        <f>B15*D10</f>
        <v>0</v>
      </c>
      <c r="E15" s="1"/>
      <c r="F15" s="1"/>
    </row>
    <row r="16" spans="1:6" ht="15.95" customHeight="1">
      <c r="A16" s="1" t="s">
        <v>89</v>
      </c>
      <c r="B16" s="1">
        <f>SEMCAL!$B$8</f>
        <v>0</v>
      </c>
      <c r="C16" s="1">
        <f>B16*C10</f>
        <v>0</v>
      </c>
      <c r="D16" s="1">
        <f>B16*D10</f>
        <v>0</v>
      </c>
      <c r="E16" s="1"/>
      <c r="F16" s="1"/>
    </row>
    <row r="17" spans="1:6" ht="15.95" customHeight="1">
      <c r="A17" s="1" t="s">
        <v>90</v>
      </c>
      <c r="B17" s="1">
        <f>SEMCAL!$B$9</f>
        <v>0</v>
      </c>
      <c r="C17" s="1">
        <f>B17*C10</f>
        <v>0</v>
      </c>
      <c r="D17" s="1">
        <f>B17*D10</f>
        <v>0</v>
      </c>
      <c r="E17" s="1"/>
      <c r="F17" s="1"/>
    </row>
    <row r="18" spans="1:6" ht="15.95" customHeight="1">
      <c r="A18" s="1" t="s">
        <v>91</v>
      </c>
      <c r="B18" s="1">
        <f>SEMCAL!$B$10</f>
        <v>0</v>
      </c>
      <c r="C18" s="1">
        <f>B18*C10</f>
        <v>0</v>
      </c>
      <c r="D18" s="1">
        <f>B18*D10</f>
        <v>0</v>
      </c>
      <c r="E18" s="1"/>
      <c r="F18" s="1"/>
    </row>
    <row r="19" spans="1:6" ht="15.95" customHeight="1">
      <c r="A19" s="1" t="s">
        <v>92</v>
      </c>
      <c r="B19" s="1">
        <f>(SEMCAL!$D$10+SEMCAL!$D$11+SEMCAL!$D$13)-SEMCAL!$D$12</f>
        <v>0</v>
      </c>
      <c r="C19" s="1">
        <f>B19*C10</f>
        <v>0</v>
      </c>
      <c r="D19" s="1">
        <f>B19*D10</f>
        <v>0</v>
      </c>
      <c r="E19" s="1"/>
      <c r="F19" s="1"/>
    </row>
    <row r="20" spans="1:6" ht="16.5" thickBot="1">
      <c r="A20" s="32" t="s">
        <v>50</v>
      </c>
      <c r="B20" s="30">
        <f>SUM(B15:B19)</f>
        <v>0</v>
      </c>
      <c r="C20" s="30">
        <f>SUM(C15:C19)</f>
        <v>0</v>
      </c>
      <c r="D20" s="30">
        <f>SUM(D15:D19)</f>
        <v>0</v>
      </c>
      <c r="E20" s="30"/>
      <c r="F20" s="1"/>
    </row>
    <row r="21" spans="1:6" ht="21" thickTop="1" thickBot="1">
      <c r="A21" s="33" t="s">
        <v>52</v>
      </c>
      <c r="B21" s="28">
        <f>IF(($B$9+$B$13-$B$20)&lt;0,0,ROUND(($B$9+$B$13-$B$20),2))</f>
        <v>0</v>
      </c>
      <c r="C21" s="28">
        <f>IF(SEMCAL!$B$14=98,0,IF(($C$9+$C$13-$C$20)&lt;0,0,($C$9+$C$13-$C$20)))</f>
        <v>0</v>
      </c>
      <c r="D21" s="28">
        <f>IF(SEMCAL!$B$14=98,0,IF(($D$9+$D$13-$D$20)&lt;0,0,($D$9+$D$13-$D$20)))</f>
        <v>0</v>
      </c>
      <c r="E21" s="28"/>
      <c r="F21" s="1"/>
    </row>
    <row r="22" spans="1:6" ht="15.75" thickTop="1">
      <c r="A22" s="1" t="s">
        <v>106</v>
      </c>
      <c r="B22" s="1"/>
      <c r="C22" s="1">
        <f>IF((SEMCAL!$B$3+$C$12+SEMCAL!$B$7+SEMCAL!$B$4+SEMCAL!$B$13)&lt;=0,0,SEMCAL!$B$14*TaxTable!$C$15)</f>
        <v>0</v>
      </c>
      <c r="D22" s="1"/>
      <c r="E22" s="1"/>
      <c r="F22" s="1"/>
    </row>
    <row r="23" spans="1:6">
      <c r="A23" s="1" t="s">
        <v>121</v>
      </c>
      <c r="B23" s="1"/>
      <c r="C23" s="1">
        <f>IF($C$21&lt;0,0,($C$21)*26-$C$22)</f>
        <v>0</v>
      </c>
      <c r="D23" s="1"/>
      <c r="E23" s="1"/>
      <c r="F23" s="1"/>
    </row>
    <row r="24" spans="1:6">
      <c r="A24" s="1" t="s">
        <v>120</v>
      </c>
      <c r="B24" s="1"/>
      <c r="C24" s="1">
        <f>IF(SEMCAL!$B$16=1,((C23-VLOOKUP(C23,TaxTable!A5:O14,1))*VLOOKUP(C23,TaxTable!A5:O14,2)+VLOOKUP(C23,TaxTable!A5:O14,3)),((C23-VLOOKUP(C23,TaxTable!A18:O27,1))*VLOOKUP(C23,TaxTable!A18:O27,2)+VLOOKUP(C23,TaxTable!A18:O27,3)))</f>
        <v>0</v>
      </c>
      <c r="D24" s="1"/>
      <c r="E24" s="1"/>
      <c r="F24" s="1"/>
    </row>
    <row r="25" spans="1:6">
      <c r="A25" s="1" t="s">
        <v>55</v>
      </c>
      <c r="B25" s="1"/>
      <c r="C25" s="1">
        <f>$C$24/26</f>
        <v>0</v>
      </c>
      <c r="D25" s="34"/>
      <c r="E25" s="1"/>
      <c r="F25" s="1"/>
    </row>
    <row r="26" spans="1:6">
      <c r="A26" s="1" t="s">
        <v>107</v>
      </c>
      <c r="B26" s="34">
        <v>0.22</v>
      </c>
      <c r="C26" s="1">
        <f>IF(SEMCAL!$B$14=98,0,ROUND(($D$21*B26),2))</f>
        <v>0</v>
      </c>
      <c r="D26" s="34"/>
      <c r="E26" s="1"/>
      <c r="F26" s="1"/>
    </row>
    <row r="27" spans="1:6">
      <c r="A27" s="1" t="s">
        <v>108</v>
      </c>
      <c r="B27" s="1"/>
      <c r="C27" s="1">
        <f>SEMCAL!$B$17</f>
        <v>0</v>
      </c>
      <c r="D27" s="34"/>
      <c r="E27" s="1"/>
      <c r="F27" s="1"/>
    </row>
    <row r="28" spans="1:6" ht="20.25" thickBot="1">
      <c r="A28" s="28" t="s">
        <v>54</v>
      </c>
      <c r="B28" s="28"/>
      <c r="C28" s="56">
        <f>IF(SEMCAL!$B$14=98,0,SUM(C25:C27))</f>
        <v>0</v>
      </c>
      <c r="D28" s="70"/>
      <c r="E28" s="28"/>
      <c r="F28" s="1"/>
    </row>
    <row r="29" spans="1:6" ht="21" thickTop="1" thickBot="1">
      <c r="A29" s="28" t="s">
        <v>101</v>
      </c>
      <c r="B29" s="57" t="s">
        <v>102</v>
      </c>
      <c r="C29" s="57" t="s">
        <v>103</v>
      </c>
      <c r="D29" s="57" t="s">
        <v>53</v>
      </c>
      <c r="E29" s="57" t="s">
        <v>113</v>
      </c>
      <c r="F29" s="1"/>
    </row>
    <row r="30" spans="1:6" ht="15.75" thickTop="1">
      <c r="A30" s="1" t="s">
        <v>105</v>
      </c>
      <c r="B30" s="1">
        <f>IF(SEMCAL!B16=1,VLOOKUP(C23,TaxTable!A5:O14,1),VLOOKUP(C23,TaxTable!A18:O27,1))</f>
        <v>0</v>
      </c>
      <c r="C30" s="1">
        <f>IF(B30=0,0,C23-B30)</f>
        <v>0</v>
      </c>
      <c r="D30" s="25">
        <f>IF(SEMCAL!B16=1,VLOOKUP(C23,TaxTable!A5:O14,2),VLOOKUP(C23,TaxTable!A18:O27,2))</f>
        <v>0</v>
      </c>
      <c r="E30" s="34">
        <f>C30*D30</f>
        <v>0</v>
      </c>
      <c r="F30" s="1"/>
    </row>
    <row r="31" spans="1:6">
      <c r="A31" s="1" t="s">
        <v>104</v>
      </c>
      <c r="B31" s="1">
        <f>IF(SEMCAL!B16=1,VLOOKUP(C23,TaxTable!A5:O14,4),VLOOKUP(C23,TaxTable!A18:O27,4))</f>
        <v>0</v>
      </c>
      <c r="C31" s="1">
        <f t="shared" ref="C31:C36" si="0">IF(B31=0,0,B30-B31)</f>
        <v>0</v>
      </c>
      <c r="D31" s="25">
        <f>IF(SEMCAL!B16=1,VLOOKUP(C23,TaxTable!A5:O14,5),VLOOKUP(C23,TaxTable!A18:O27,5))</f>
        <v>0</v>
      </c>
      <c r="E31" s="34">
        <f t="shared" ref="E31:E36" si="1">C31*D31</f>
        <v>0</v>
      </c>
      <c r="F31" s="1"/>
    </row>
    <row r="32" spans="1:6">
      <c r="A32" s="1" t="s">
        <v>104</v>
      </c>
      <c r="B32" s="1">
        <f>IF(SEMCAL!B16=1,VLOOKUP(C23,TaxTable!A5:O14,6),VLOOKUP(C23,TaxTable!A18:O27,6))</f>
        <v>0</v>
      </c>
      <c r="C32" s="1">
        <f t="shared" si="0"/>
        <v>0</v>
      </c>
      <c r="D32" s="25">
        <f>IF(SEMCAL!B16=1,VLOOKUP(C23,TaxTable!A5:O14,7),VLOOKUP(C23,TaxTable!A18:O27,7))</f>
        <v>0</v>
      </c>
      <c r="E32" s="34">
        <f t="shared" si="1"/>
        <v>0</v>
      </c>
      <c r="F32" s="1"/>
    </row>
    <row r="33" spans="1:6">
      <c r="A33" s="1" t="s">
        <v>104</v>
      </c>
      <c r="B33" s="1">
        <f>IF(SEMCAL!B16=1,VLOOKUP(C23,TaxTable!A5:O14,8),VLOOKUP(C23,TaxTable!A18:O27,8))</f>
        <v>0</v>
      </c>
      <c r="C33" s="1">
        <f t="shared" si="0"/>
        <v>0</v>
      </c>
      <c r="D33" s="25">
        <f>IF(SEMCAL!B16=1,VLOOKUP(C23,TaxTable!A5:O14,9),VLOOKUP(C23,TaxTable!A18:O27,9))</f>
        <v>0</v>
      </c>
      <c r="E33" s="34">
        <f t="shared" si="1"/>
        <v>0</v>
      </c>
      <c r="F33" s="1"/>
    </row>
    <row r="34" spans="1:6">
      <c r="A34" s="1" t="s">
        <v>104</v>
      </c>
      <c r="B34" s="1">
        <f>IF(SEMCAL!B16=1,VLOOKUP(C23,TaxTable!A5:O14,10),VLOOKUP(C23,TaxTable!A18:O27,10))</f>
        <v>0</v>
      </c>
      <c r="C34" s="1">
        <f t="shared" si="0"/>
        <v>0</v>
      </c>
      <c r="D34" s="25">
        <f>IF(SEMCAL!B16=1,VLOOKUP(C23,TaxTable!A5:O14,11),VLOOKUP(C23,TaxTable!A18:O27,11))</f>
        <v>0</v>
      </c>
      <c r="E34" s="34">
        <f t="shared" si="1"/>
        <v>0</v>
      </c>
      <c r="F34" s="1"/>
    </row>
    <row r="35" spans="1:6">
      <c r="A35" s="1" t="s">
        <v>104</v>
      </c>
      <c r="B35" s="1">
        <f>IF(SEMCAL!B16=1,VLOOKUP(C23,TaxTable!A5:O14,12),VLOOKUP(C23,TaxTable!A18:O27,12))</f>
        <v>0</v>
      </c>
      <c r="C35" s="1">
        <f t="shared" si="0"/>
        <v>0</v>
      </c>
      <c r="D35" s="25">
        <f>IF(SEMCAL!B16=1,VLOOKUP(C23,TaxTable!A5:O14,13),VLOOKUP(C23,TaxTable!A18:O27,13))</f>
        <v>0</v>
      </c>
      <c r="E35" s="34">
        <f t="shared" si="1"/>
        <v>0</v>
      </c>
      <c r="F35" s="1"/>
    </row>
    <row r="36" spans="1:6">
      <c r="A36" s="1" t="s">
        <v>104</v>
      </c>
      <c r="B36" s="1">
        <f>IF(SEMCAL!B16=1,VLOOKUP(C23,TaxTable!A5:O14,14),VLOOKUP(C23,TaxTable!A18:O27,14))</f>
        <v>0</v>
      </c>
      <c r="C36" s="1">
        <f t="shared" si="0"/>
        <v>0</v>
      </c>
      <c r="D36" s="25">
        <f>IF(SEMCAL!B16=1,VLOOKUP(C23,TaxTable!A5:O14,15),VLOOKUP(C23,TaxTable!A18:O27,15))</f>
        <v>0</v>
      </c>
      <c r="E36" s="34">
        <f t="shared" si="1"/>
        <v>0</v>
      </c>
      <c r="F36" s="1"/>
    </row>
    <row r="37" spans="1:6" ht="16.5" thickBot="1">
      <c r="A37" s="30" t="s">
        <v>119</v>
      </c>
      <c r="B37" s="30"/>
      <c r="C37" s="30"/>
      <c r="D37" s="30"/>
      <c r="E37" s="67">
        <f>SUM(E30:E36)</f>
        <v>0</v>
      </c>
      <c r="F37" s="1"/>
    </row>
    <row r="38" spans="1:6" ht="16.5" thickTop="1">
      <c r="A38" s="74" t="s">
        <v>81</v>
      </c>
      <c r="B38" s="1"/>
      <c r="C38" s="1"/>
      <c r="D38" s="25"/>
      <c r="E38" s="1"/>
      <c r="F38" s="1"/>
    </row>
    <row r="39" spans="1:6" ht="15.75" hidden="1">
      <c r="E39" s="41"/>
    </row>
    <row r="40" spans="1:6" hidden="1">
      <c r="A40" s="42"/>
      <c r="B40" s="43"/>
    </row>
    <row r="42" spans="1:6" hidden="1">
      <c r="B42" s="44"/>
    </row>
    <row r="44" spans="1:6" hidden="1">
      <c r="A44" s="45"/>
      <c r="B44" s="46"/>
      <c r="C44" s="47"/>
      <c r="D44" s="46"/>
      <c r="E44" s="48"/>
      <c r="F44" s="36"/>
    </row>
    <row r="45" spans="1:6" hidden="1">
      <c r="A45" s="45"/>
      <c r="B45" s="46"/>
      <c r="C45" s="46"/>
      <c r="D45" s="47"/>
      <c r="E45" s="48"/>
    </row>
    <row r="46" spans="1:6" hidden="1">
      <c r="A46" s="45"/>
      <c r="B46" s="46"/>
      <c r="C46" s="49"/>
      <c r="D46" s="50"/>
      <c r="E46" s="48"/>
    </row>
    <row r="47" spans="1:6" hidden="1">
      <c r="A47" s="45"/>
      <c r="B47" s="46"/>
      <c r="C47" s="46"/>
      <c r="D47" s="51"/>
      <c r="E47" s="52"/>
    </row>
    <row r="48" spans="1:6" hidden="1">
      <c r="A48" s="45"/>
      <c r="B48" s="46"/>
      <c r="C48" s="46"/>
      <c r="D48" s="46"/>
      <c r="E48" s="52"/>
    </row>
    <row r="49" spans="1:6" hidden="1">
      <c r="A49" s="45"/>
      <c r="B49" s="46"/>
      <c r="C49" s="46"/>
      <c r="D49" s="46"/>
      <c r="E49" s="52"/>
    </row>
    <row r="50" spans="1:6" hidden="1">
      <c r="A50" s="45"/>
      <c r="B50" s="46"/>
      <c r="C50" s="46"/>
      <c r="D50" s="53"/>
      <c r="E50" s="48"/>
      <c r="F50" s="36"/>
    </row>
    <row r="51" spans="1:6" hidden="1">
      <c r="A51" s="45"/>
      <c r="B51" s="46"/>
      <c r="C51" s="49"/>
      <c r="D51" s="50"/>
      <c r="E51" s="48"/>
      <c r="F51" s="36"/>
    </row>
    <row r="52" spans="1:6" hidden="1">
      <c r="A52" s="45"/>
      <c r="B52" s="46"/>
      <c r="C52" s="46"/>
      <c r="D52" s="51"/>
      <c r="E52" s="52"/>
    </row>
    <row r="53" spans="1:6" hidden="1">
      <c r="A53" s="51"/>
      <c r="B53" s="46"/>
      <c r="C53" s="46"/>
      <c r="D53" s="53"/>
      <c r="E53" s="48"/>
      <c r="F53" s="36"/>
    </row>
    <row r="54" spans="1:6" hidden="1">
      <c r="A54" s="45"/>
      <c r="B54" s="46"/>
      <c r="C54" s="46"/>
      <c r="D54" s="53"/>
      <c r="E54" s="48"/>
      <c r="F54" s="36"/>
    </row>
    <row r="55" spans="1:6" hidden="1">
      <c r="A55" s="45"/>
      <c r="B55" s="46"/>
      <c r="C55" s="46"/>
      <c r="D55" s="50"/>
      <c r="E55" s="48"/>
      <c r="F55" s="36"/>
    </row>
    <row r="56" spans="1:6" hidden="1">
      <c r="A56" s="45"/>
      <c r="B56" s="46"/>
      <c r="C56" s="49"/>
      <c r="D56" s="51"/>
      <c r="E56" s="52"/>
    </row>
    <row r="57" spans="1:6" hidden="1">
      <c r="A57" s="45"/>
      <c r="B57" s="46"/>
      <c r="C57" s="46"/>
      <c r="D57" s="53"/>
      <c r="E57" s="48"/>
      <c r="F57" s="36"/>
    </row>
    <row r="58" spans="1:6" hidden="1">
      <c r="A58" s="51"/>
      <c r="B58" s="46"/>
      <c r="C58" s="46"/>
      <c r="D58" s="50"/>
      <c r="E58" s="48"/>
      <c r="F58" s="36"/>
    </row>
    <row r="59" spans="1:6" hidden="1">
      <c r="A59" s="45"/>
      <c r="B59" s="46"/>
      <c r="C59" s="46"/>
      <c r="D59" s="50"/>
      <c r="E59" s="48"/>
      <c r="F59" s="36"/>
    </row>
    <row r="60" spans="1:6" hidden="1">
      <c r="A60" s="45"/>
      <c r="B60" s="46"/>
      <c r="C60" s="46"/>
      <c r="D60" s="51"/>
      <c r="E60" s="52"/>
    </row>
    <row r="61" spans="1:6" hidden="1">
      <c r="A61" s="45"/>
      <c r="B61" s="46"/>
      <c r="C61" s="49"/>
      <c r="D61" s="53"/>
      <c r="E61" s="48"/>
      <c r="F61" s="36"/>
    </row>
    <row r="62" spans="1:6" hidden="1">
      <c r="A62" s="45"/>
      <c r="B62" s="46"/>
      <c r="C62" s="46"/>
      <c r="D62" s="50"/>
      <c r="E62" s="48"/>
      <c r="F62" s="36"/>
    </row>
    <row r="63" spans="1:6" hidden="1">
      <c r="A63" s="51"/>
      <c r="B63" s="46"/>
      <c r="C63" s="46"/>
      <c r="D63" s="51"/>
      <c r="E63" s="52"/>
    </row>
    <row r="64" spans="1:6" hidden="1">
      <c r="A64" s="45"/>
      <c r="B64" s="46"/>
      <c r="C64" s="46"/>
      <c r="D64" s="51"/>
      <c r="E64" s="52"/>
    </row>
    <row r="65" spans="1:6" hidden="1">
      <c r="A65" s="45"/>
      <c r="B65" s="46"/>
      <c r="C65" s="46"/>
      <c r="D65" s="53"/>
      <c r="E65" s="52"/>
      <c r="F65" s="36"/>
    </row>
    <row r="66" spans="1:6" hidden="1">
      <c r="A66" s="45"/>
      <c r="B66" s="46"/>
      <c r="C66" s="49"/>
      <c r="D66" s="54"/>
      <c r="E66" s="52"/>
      <c r="F66" s="36"/>
    </row>
    <row r="67" spans="1:6" hidden="1">
      <c r="A67" s="45"/>
      <c r="B67" s="46"/>
      <c r="C67" s="46"/>
      <c r="D67" s="46"/>
      <c r="E67" s="52"/>
    </row>
    <row r="68" spans="1:6" hidden="1">
      <c r="A68" s="51"/>
      <c r="B68" s="46"/>
      <c r="C68" s="46"/>
      <c r="D68" s="53"/>
      <c r="E68" s="48"/>
      <c r="F68" s="36"/>
    </row>
    <row r="69" spans="1:6" hidden="1">
      <c r="A69" s="45"/>
      <c r="B69" s="46"/>
      <c r="C69" s="46"/>
      <c r="D69" s="53"/>
      <c r="E69" s="48"/>
      <c r="F69" s="36"/>
    </row>
    <row r="70" spans="1:6" hidden="1">
      <c r="A70" s="45"/>
      <c r="B70" s="46"/>
      <c r="C70" s="46"/>
      <c r="D70" s="50"/>
      <c r="E70" s="48"/>
      <c r="F70" s="36"/>
    </row>
    <row r="71" spans="1:6" hidden="1">
      <c r="A71" s="45"/>
      <c r="B71" s="46"/>
      <c r="C71" s="49"/>
      <c r="D71" s="51"/>
      <c r="E71" s="52"/>
    </row>
    <row r="72" spans="1:6" hidden="1">
      <c r="A72" s="45"/>
      <c r="B72" s="46"/>
      <c r="C72" s="46"/>
      <c r="D72" s="46"/>
      <c r="E72" s="52"/>
    </row>
    <row r="74" spans="1:6" hidden="1">
      <c r="A74" s="45"/>
      <c r="C74" s="46"/>
    </row>
    <row r="75" spans="1:6" hidden="1">
      <c r="A75" s="45"/>
      <c r="C75" s="46"/>
    </row>
    <row r="76" spans="1:6" hidden="1">
      <c r="A76" s="45"/>
      <c r="C76" s="49"/>
    </row>
    <row r="77" spans="1:6" hidden="1">
      <c r="A77" s="45"/>
      <c r="C77" s="46"/>
    </row>
    <row r="78" spans="1:6" hidden="1">
      <c r="A78" s="55"/>
    </row>
  </sheetData>
  <sheetProtection algorithmName="SHA-512" hashValue="n3yHC/dzLoxl3fL6GczBOLSwq95lCGBTvRFB9sNzou9gR18vBgFNC4jai3fBhNYW60i0tUDhvsDZhIxGU4paXg==" saltValue="5BFPhFP976bJZI53Pp8g+g==" spinCount="100000" sheet="1" objects="1" scenarios="1"/>
  <pageMargins left="0.7" right="0.7" top="0.75" bottom="0.75" header="0.3" footer="0.3"/>
  <pageSetup scale="81" orientation="landscape" r:id="rId1"/>
  <headerFooter>
    <oddHeader>&amp;LMinnesota Mgmt &amp; Budget&amp;C&amp;F&amp;R&amp;D &amp;T</oddHeader>
    <oddFooter>&amp;C&amp;A&amp;R&amp;P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F40"/>
  <sheetViews>
    <sheetView zoomScaleNormal="100" workbookViewId="0">
      <pane ySplit="2" topLeftCell="A8" activePane="bottomLeft" state="frozen"/>
      <selection pane="bottomLeft"/>
    </sheetView>
  </sheetViews>
  <sheetFormatPr defaultColWidth="0" defaultRowHeight="15" zeroHeight="1"/>
  <cols>
    <col min="1" max="1" width="54.6640625" style="35" customWidth="1"/>
    <col min="2" max="3" width="11.77734375" style="35" customWidth="1"/>
    <col min="4" max="4" width="13.88671875" style="35" customWidth="1"/>
    <col min="5" max="5" width="18.21875" style="35" customWidth="1"/>
    <col min="6" max="6" width="8.88671875" style="35" customWidth="1"/>
    <col min="7" max="16384" width="0" style="35" hidden="1"/>
  </cols>
  <sheetData>
    <row r="1" spans="1:6" ht="15.75">
      <c r="A1" s="76" t="s">
        <v>117</v>
      </c>
      <c r="B1" s="77"/>
      <c r="C1" s="77"/>
      <c r="D1" s="77"/>
      <c r="E1" s="1"/>
      <c r="F1" s="1"/>
    </row>
    <row r="2" spans="1:6" ht="22.5">
      <c r="A2" s="26" t="str">
        <f>SEMCAL!A2</f>
        <v>NET PAY CALCULATOR effective 01/02/2025 [for 2019 and older W-4s]</v>
      </c>
      <c r="B2" s="1"/>
      <c r="C2" s="1"/>
      <c r="D2" s="1"/>
      <c r="E2" s="26" t="s">
        <v>58</v>
      </c>
      <c r="F2" s="1"/>
    </row>
    <row r="3" spans="1:6" ht="15.75" customHeight="1" thickBot="1">
      <c r="A3" s="28" t="s">
        <v>56</v>
      </c>
      <c r="B3" s="58" t="s">
        <v>93</v>
      </c>
      <c r="C3" s="58" t="s">
        <v>94</v>
      </c>
      <c r="D3" s="58" t="s">
        <v>95</v>
      </c>
      <c r="E3" s="28" t="str">
        <f>SEMCAL!B27</f>
        <v xml:space="preserve"> </v>
      </c>
      <c r="F3" s="1"/>
    </row>
    <row r="4" spans="1:6" ht="15.95" customHeight="1" thickTop="1">
      <c r="A4" s="1" t="s">
        <v>82</v>
      </c>
      <c r="B4" s="1">
        <f>SEMCAL!$B$3</f>
        <v>0</v>
      </c>
      <c r="C4" s="1">
        <f>SEMCAL!$B$3</f>
        <v>0</v>
      </c>
      <c r="D4" s="64" t="s">
        <v>115</v>
      </c>
      <c r="E4" s="1"/>
      <c r="F4" s="1"/>
    </row>
    <row r="5" spans="1:6" ht="15.95" customHeight="1">
      <c r="A5" s="1" t="s">
        <v>83</v>
      </c>
      <c r="B5" s="1">
        <f>SEMCAL!$B$4</f>
        <v>0</v>
      </c>
      <c r="C5" s="1">
        <f>SEMCAL!$B$4</f>
        <v>0</v>
      </c>
      <c r="D5" s="64" t="s">
        <v>115</v>
      </c>
      <c r="E5" s="1"/>
      <c r="F5" s="1"/>
    </row>
    <row r="6" spans="1:6" ht="15.95" customHeight="1">
      <c r="A6" s="1" t="s">
        <v>84</v>
      </c>
      <c r="B6" s="1">
        <f>SEMCAL!$B$13</f>
        <v>0</v>
      </c>
      <c r="C6" s="1">
        <f>SEMCAL!$B$13</f>
        <v>0</v>
      </c>
      <c r="D6" s="64" t="s">
        <v>115</v>
      </c>
      <c r="E6" s="1"/>
      <c r="F6" s="1"/>
    </row>
    <row r="7" spans="1:6" ht="15.95" customHeight="1">
      <c r="A7" s="1" t="s">
        <v>85</v>
      </c>
      <c r="B7" s="1">
        <f>SEMCAL!$B$5</f>
        <v>0</v>
      </c>
      <c r="C7" s="64" t="s">
        <v>115</v>
      </c>
      <c r="D7" s="1">
        <f>SEMCAL!$B$5</f>
        <v>0</v>
      </c>
      <c r="E7" s="1"/>
      <c r="F7" s="1"/>
    </row>
    <row r="8" spans="1:6" ht="15.95" customHeight="1">
      <c r="A8" s="1" t="s">
        <v>86</v>
      </c>
      <c r="B8" s="1">
        <f>SEMCAL!$B$12</f>
        <v>0</v>
      </c>
      <c r="C8" s="64" t="s">
        <v>115</v>
      </c>
      <c r="D8" s="1">
        <f>SEMCAL!$B$12</f>
        <v>0</v>
      </c>
      <c r="E8" s="1"/>
      <c r="F8" s="1"/>
    </row>
    <row r="9" spans="1:6" ht="16.5" thickBot="1">
      <c r="A9" s="30" t="s">
        <v>47</v>
      </c>
      <c r="B9" s="30">
        <f>ROUND(SUM(B4:B8),2)</f>
        <v>0</v>
      </c>
      <c r="C9" s="30">
        <f>SUM(C4:C8)</f>
        <v>0</v>
      </c>
      <c r="D9" s="30">
        <f>SUM(D4:D8)</f>
        <v>0</v>
      </c>
      <c r="E9" s="30"/>
      <c r="F9" s="1"/>
    </row>
    <row r="10" spans="1:6" ht="17.25" thickTop="1" thickBot="1">
      <c r="A10" s="66" t="s">
        <v>116</v>
      </c>
      <c r="B10" s="30"/>
      <c r="C10" s="31">
        <f>IF(C9&gt;0,C9/B9,0)</f>
        <v>0</v>
      </c>
      <c r="D10" s="31">
        <f>1-C10</f>
        <v>1</v>
      </c>
      <c r="E10" s="30"/>
      <c r="F10" s="1"/>
    </row>
    <row r="11" spans="1:6" ht="21" thickTop="1" thickBot="1">
      <c r="A11" s="28" t="s">
        <v>48</v>
      </c>
      <c r="B11" s="58" t="s">
        <v>93</v>
      </c>
      <c r="C11" s="58" t="s">
        <v>94</v>
      </c>
      <c r="D11" s="58" t="s">
        <v>95</v>
      </c>
      <c r="E11" s="28"/>
      <c r="F11" s="1"/>
    </row>
    <row r="12" spans="1:6" ht="15.75" thickTop="1">
      <c r="A12" s="1" t="s">
        <v>87</v>
      </c>
      <c r="B12" s="1">
        <f>SEMCAL!$B$11</f>
        <v>0</v>
      </c>
      <c r="C12" s="1">
        <f>B12*C10</f>
        <v>0</v>
      </c>
      <c r="D12" s="1">
        <f>B12*D10</f>
        <v>0</v>
      </c>
      <c r="E12" s="1"/>
      <c r="F12" s="1"/>
    </row>
    <row r="13" spans="1:6" ht="16.5" thickBot="1">
      <c r="A13" s="30" t="s">
        <v>51</v>
      </c>
      <c r="B13" s="30">
        <f>SUM(B12)</f>
        <v>0</v>
      </c>
      <c r="C13" s="30">
        <f>SUM(C12)</f>
        <v>0</v>
      </c>
      <c r="D13" s="30">
        <f>SUM(D12)</f>
        <v>0</v>
      </c>
      <c r="E13" s="30"/>
      <c r="F13" s="1"/>
    </row>
    <row r="14" spans="1:6" ht="21" thickTop="1" thickBot="1">
      <c r="A14" s="28" t="s">
        <v>49</v>
      </c>
      <c r="B14" s="58" t="s">
        <v>93</v>
      </c>
      <c r="C14" s="58" t="s">
        <v>94</v>
      </c>
      <c r="D14" s="58" t="s">
        <v>95</v>
      </c>
      <c r="E14" s="1"/>
      <c r="F14" s="1"/>
    </row>
    <row r="15" spans="1:6" ht="15.95" customHeight="1" thickTop="1">
      <c r="A15" s="1" t="s">
        <v>88</v>
      </c>
      <c r="B15" s="1">
        <f>SEMCAL!$B$6</f>
        <v>0</v>
      </c>
      <c r="C15" s="1">
        <f>B15*C10</f>
        <v>0</v>
      </c>
      <c r="D15" s="1">
        <f>B15*D10</f>
        <v>0</v>
      </c>
      <c r="E15" s="1"/>
      <c r="F15" s="1"/>
    </row>
    <row r="16" spans="1:6" ht="15.95" customHeight="1">
      <c r="A16" s="1" t="s">
        <v>89</v>
      </c>
      <c r="B16" s="1">
        <f>SEMCAL!$B$8</f>
        <v>0</v>
      </c>
      <c r="C16" s="1">
        <f>B16*C10</f>
        <v>0</v>
      </c>
      <c r="D16" s="1">
        <f>B16*D10</f>
        <v>0</v>
      </c>
      <c r="E16" s="1"/>
      <c r="F16" s="1"/>
    </row>
    <row r="17" spans="1:6" ht="15.95" customHeight="1">
      <c r="A17" s="1" t="s">
        <v>90</v>
      </c>
      <c r="B17" s="1">
        <f>SEMCAL!$B$9</f>
        <v>0</v>
      </c>
      <c r="C17" s="1">
        <f>B17*C10</f>
        <v>0</v>
      </c>
      <c r="D17" s="1">
        <f>B17*D10</f>
        <v>0</v>
      </c>
      <c r="E17" s="1"/>
      <c r="F17" s="1"/>
    </row>
    <row r="18" spans="1:6" ht="15.95" customHeight="1">
      <c r="A18" s="1" t="s">
        <v>91</v>
      </c>
      <c r="B18" s="1">
        <f>SEMCAL!$B$10</f>
        <v>0</v>
      </c>
      <c r="C18" s="1">
        <f>B18*C10</f>
        <v>0</v>
      </c>
      <c r="D18" s="1">
        <f>B18*D10</f>
        <v>0</v>
      </c>
      <c r="E18" s="1"/>
      <c r="F18" s="1"/>
    </row>
    <row r="19" spans="1:6" ht="15.95" customHeight="1">
      <c r="A19" s="1" t="s">
        <v>92</v>
      </c>
      <c r="B19" s="1">
        <f>(SEMCAL!$D$10+SEMCAL!$D$11+SEMCAL!$D$13)-SEMCAL!$D$12</f>
        <v>0</v>
      </c>
      <c r="C19" s="1">
        <f>B19*C10</f>
        <v>0</v>
      </c>
      <c r="D19" s="1">
        <f>B19*D10</f>
        <v>0</v>
      </c>
      <c r="E19" s="1"/>
      <c r="F19" s="1"/>
    </row>
    <row r="20" spans="1:6" ht="16.5" thickBot="1">
      <c r="A20" s="30" t="s">
        <v>50</v>
      </c>
      <c r="B20" s="30">
        <f>SUM(B15:B19)</f>
        <v>0</v>
      </c>
      <c r="C20" s="30">
        <f>SUM(C15:C19)</f>
        <v>0</v>
      </c>
      <c r="D20" s="30">
        <f>SUM(D15:D19)</f>
        <v>0</v>
      </c>
      <c r="E20" s="30"/>
      <c r="F20" s="1"/>
    </row>
    <row r="21" spans="1:6" ht="21" thickTop="1" thickBot="1">
      <c r="A21" s="28" t="s">
        <v>59</v>
      </c>
      <c r="B21" s="28">
        <f>IF(($B$9+$B$13-$B$20)&lt;0,0,ROUND(($B$9+$B$13-$B$20),2))</f>
        <v>0</v>
      </c>
      <c r="C21" s="28">
        <f>IF(SEMCAL!$B$15&gt;97,0,IF(($C$9+$C$13-$C$20)&lt;0,0,($C$9+$C$13-$C$20)))</f>
        <v>0</v>
      </c>
      <c r="D21" s="28">
        <f>IF(SEMCAL!$B$15&gt;97,0,IF(($D$9+$D$13-$D$20)&lt;0,0,($D$9+$D$13-$D$20)))</f>
        <v>0</v>
      </c>
      <c r="E21" s="28"/>
      <c r="F21" s="1"/>
    </row>
    <row r="22" spans="1:6" ht="15.75" thickTop="1">
      <c r="A22" s="1" t="s">
        <v>96</v>
      </c>
      <c r="B22" s="1"/>
      <c r="C22" s="1">
        <f>IF((SEMCAL!$B$3+$C$12+SEMCAL!$B$7+SEMCAL!$B$4+SEMCAL!$B$13)&lt;=0,0,SEMCAL!$B$15*TaxTable!$C$37)</f>
        <v>0</v>
      </c>
      <c r="D22" s="1"/>
      <c r="E22" s="1"/>
      <c r="F22" s="1"/>
    </row>
    <row r="23" spans="1:6">
      <c r="A23" s="1" t="s">
        <v>97</v>
      </c>
      <c r="B23" s="1"/>
      <c r="C23" s="1">
        <f>IF($C$21&lt;0,0,($C$21)*26-$C$22)</f>
        <v>0</v>
      </c>
      <c r="D23" s="1"/>
      <c r="E23" s="1"/>
      <c r="F23" s="1"/>
    </row>
    <row r="24" spans="1:6">
      <c r="A24" s="1" t="s">
        <v>98</v>
      </c>
      <c r="B24" s="1"/>
      <c r="C24" s="1">
        <f>IF(SEMCAL!$B$16=1,((C23-VLOOKUP(C23,TaxTable!A30:I36,1))*VLOOKUP(C23,TaxTable!A30:I36,2)+VLOOKUP(C23,TaxTable!A30:I36,3)),((C23-VLOOKUP(C23,TaxTable!A40:I46,1))*VLOOKUP(C23,TaxTable!A40:I46,2)+VLOOKUP(C23,TaxTable!A40:I46,3)))</f>
        <v>0</v>
      </c>
      <c r="D24" s="34"/>
      <c r="E24" s="1"/>
      <c r="F24" s="1"/>
    </row>
    <row r="25" spans="1:6">
      <c r="A25" s="1" t="s">
        <v>67</v>
      </c>
      <c r="B25" s="1"/>
      <c r="C25" s="1">
        <f>$C$24/26</f>
        <v>0</v>
      </c>
      <c r="D25" s="34"/>
      <c r="E25" s="1"/>
      <c r="F25" s="1"/>
    </row>
    <row r="26" spans="1:6">
      <c r="A26" s="1" t="s">
        <v>100</v>
      </c>
      <c r="B26" s="34">
        <v>6.25E-2</v>
      </c>
      <c r="C26" s="1">
        <f>IF(SEMCAL!$B$15&gt;97,0,$D$21*B26)</f>
        <v>0</v>
      </c>
      <c r="D26" s="34"/>
      <c r="E26" s="1"/>
      <c r="F26" s="1"/>
    </row>
    <row r="27" spans="1:6">
      <c r="A27" s="1" t="s">
        <v>99</v>
      </c>
      <c r="B27" s="1"/>
      <c r="C27" s="1">
        <f>SEMCAL!$B$18</f>
        <v>0</v>
      </c>
      <c r="D27" s="34"/>
      <c r="E27" s="1"/>
      <c r="F27" s="1"/>
    </row>
    <row r="28" spans="1:6" ht="20.25" thickBot="1">
      <c r="A28" s="28" t="s">
        <v>60</v>
      </c>
      <c r="B28" s="28"/>
      <c r="C28" s="56">
        <f>IF(SEMCAL!$B$15&gt;97,0,SUM(C25:C27))</f>
        <v>0</v>
      </c>
      <c r="D28" s="70"/>
      <c r="E28" s="28"/>
      <c r="F28" s="1"/>
    </row>
    <row r="29" spans="1:6" ht="21" thickTop="1" thickBot="1">
      <c r="A29" s="28" t="s">
        <v>101</v>
      </c>
      <c r="B29" s="57" t="s">
        <v>102</v>
      </c>
      <c r="C29" s="57" t="s">
        <v>103</v>
      </c>
      <c r="D29" s="57" t="s">
        <v>53</v>
      </c>
      <c r="E29" s="57" t="s">
        <v>113</v>
      </c>
      <c r="F29" s="1"/>
    </row>
    <row r="30" spans="1:6" ht="15.75" thickTop="1">
      <c r="A30" s="1" t="s">
        <v>105</v>
      </c>
      <c r="B30" s="59">
        <f>IF(SEMCAL!B16=1,VLOOKUP(C23,TaxTable!A30:I36,1),VLOOKUP(C23,TaxTable!A40:I46,1))</f>
        <v>0</v>
      </c>
      <c r="C30" s="59">
        <f>IF(B30=0,0,C23-B30)</f>
        <v>0</v>
      </c>
      <c r="D30" s="34">
        <f>IF(SEMCAL!B16=1,VLOOKUP(C23,TaxTable!A30:I36,2),VLOOKUP(C23,TaxTable!A40:I46,2))</f>
        <v>0</v>
      </c>
      <c r="E30" s="68">
        <f>C30*D30</f>
        <v>0</v>
      </c>
      <c r="F30" s="1"/>
    </row>
    <row r="31" spans="1:6">
      <c r="A31" s="1" t="s">
        <v>104</v>
      </c>
      <c r="B31" s="59">
        <f>IF(SEMCAL!B16=1,VLOOKUP(C23,TaxTable!A30:I36,4),VLOOKUP(C23,TaxTable!A40:I46,4))</f>
        <v>0</v>
      </c>
      <c r="C31" s="59">
        <f>IF(B31=0,0,B30-B31)</f>
        <v>0</v>
      </c>
      <c r="D31" s="34">
        <f>IF(SEMCAL!B16=1,VLOOKUP(C23,TaxTable!A30:I36,5),VLOOKUP(C23,TaxTable!A40:I46,5))</f>
        <v>0</v>
      </c>
      <c r="E31" s="68">
        <f>C31*D31</f>
        <v>0</v>
      </c>
      <c r="F31" s="1"/>
    </row>
    <row r="32" spans="1:6">
      <c r="A32" s="1" t="s">
        <v>104</v>
      </c>
      <c r="B32" s="59">
        <f>IF(SEMCAL!B16=1,VLOOKUP(C23,TaxTable!A30:I36,6),VLOOKUP(C23,TaxTable!A40:I46,6))</f>
        <v>0</v>
      </c>
      <c r="C32" s="59">
        <f>IF(B32=0,0,B31-B32)</f>
        <v>0</v>
      </c>
      <c r="D32" s="34">
        <f>IF(SEMCAL!B16=1,VLOOKUP(C23,TaxTable!A30:I36,7),VLOOKUP(C23,TaxTable!A40:I46,7))</f>
        <v>0</v>
      </c>
      <c r="E32" s="68">
        <f>C32*D32</f>
        <v>0</v>
      </c>
      <c r="F32" s="1"/>
    </row>
    <row r="33" spans="1:6">
      <c r="A33" s="1" t="s">
        <v>104</v>
      </c>
      <c r="B33" s="59">
        <f>IF(SEMCAL!B16=1,VLOOKUP(C23,TaxTable!A30:I36,8),VLOOKUP(C23,TaxTable!A40:I46,8))</f>
        <v>0</v>
      </c>
      <c r="C33" s="59">
        <f>IF(B33=0,0,B32-B33)</f>
        <v>0</v>
      </c>
      <c r="D33" s="34">
        <f>IF(SEMCAL!B16=1,VLOOKUP(C23,TaxTable!A30:I36,9),VLOOKUP(C23,TaxTable!A40:I46,9))</f>
        <v>0</v>
      </c>
      <c r="E33" s="68">
        <f>C33*D33</f>
        <v>0</v>
      </c>
      <c r="F33" s="1"/>
    </row>
    <row r="34" spans="1:6" ht="16.5" thickBot="1">
      <c r="A34" s="30" t="s">
        <v>112</v>
      </c>
      <c r="B34" s="30"/>
      <c r="C34" s="30"/>
      <c r="D34" s="30"/>
      <c r="E34" s="69">
        <f>SUM(E30:E33)</f>
        <v>0</v>
      </c>
      <c r="F34" s="1"/>
    </row>
    <row r="35" spans="1:6" ht="16.5" thickTop="1">
      <c r="A35" s="74" t="s">
        <v>81</v>
      </c>
      <c r="B35" s="1"/>
      <c r="C35" s="1"/>
      <c r="D35" s="1"/>
      <c r="E35" s="1"/>
      <c r="F35" s="1"/>
    </row>
    <row r="40" spans="1:6" ht="17.25" hidden="1" customHeight="1"/>
  </sheetData>
  <sheetProtection algorithmName="SHA-512" hashValue="fJEYp4GzitOtIGbq0I1v8ZD+F84rJLYw0K468i4MUUAqCu3GNJgiTjNtst0J2xRtrq7c2AlXCw88v2T+SmjobQ==" saltValue="elZAx4Kji+ZpMijSsluDwQ==" spinCount="100000" sheet="1" objects="1" scenarios="1"/>
  <pageMargins left="0.7" right="0.7" top="0.75" bottom="0.75" header="0.3" footer="0.3"/>
  <pageSetup scale="86" orientation="landscape" r:id="rId1"/>
  <headerFooter>
    <oddHeader>&amp;LMinnesota Mgmt &amp; Budget&amp;C&amp;F&amp;R&amp;D &amp;T</oddHeader>
    <oddFooter>&amp;C&amp;A&amp;R&amp;P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P48"/>
  <sheetViews>
    <sheetView zoomScaleNormal="100" workbookViewId="0">
      <pane xSplit="1" topLeftCell="B1" activePane="topRight" state="frozen"/>
      <selection pane="topRight"/>
    </sheetView>
  </sheetViews>
  <sheetFormatPr defaultColWidth="0" defaultRowHeight="15" zeroHeight="1"/>
  <cols>
    <col min="1" max="1" width="13" style="35" customWidth="1"/>
    <col min="2" max="2" width="9.109375" style="35" customWidth="1"/>
    <col min="3" max="3" width="12.5546875" style="35" customWidth="1"/>
    <col min="4" max="4" width="11.44140625" style="35" customWidth="1"/>
    <col min="5" max="5" width="8.88671875" style="35" customWidth="1"/>
    <col min="6" max="6" width="12" style="35" customWidth="1"/>
    <col min="7" max="7" width="8.88671875" style="35" customWidth="1"/>
    <col min="8" max="8" width="12.21875" style="35" customWidth="1"/>
    <col min="9" max="9" width="8.88671875" style="35" customWidth="1"/>
    <col min="10" max="10" width="10" style="35" customWidth="1"/>
    <col min="11" max="11" width="8.88671875" style="35" customWidth="1"/>
    <col min="12" max="12" width="10.109375" style="35" customWidth="1"/>
    <col min="13" max="13" width="8.88671875" style="35" customWidth="1"/>
    <col min="14" max="14" width="10.21875" style="35" customWidth="1"/>
    <col min="15" max="16" width="8.88671875" style="35" customWidth="1"/>
    <col min="17" max="16384" width="0" style="35" hidden="1"/>
  </cols>
  <sheetData>
    <row r="1" spans="1:16" ht="21">
      <c r="A1" s="76" t="s">
        <v>117</v>
      </c>
      <c r="B1" s="77"/>
      <c r="C1" s="77"/>
      <c r="D1" s="7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2.5">
      <c r="A2" s="26" t="str">
        <f>SEMCAL!A2</f>
        <v>NET PAY CALCULATOR effective 01/02/2025 [for 2019 and older W-4s]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0.25" thickBot="1">
      <c r="A3" s="28" t="s">
        <v>61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.75" thickTop="1" thickBot="1">
      <c r="A4" s="60" t="s">
        <v>68</v>
      </c>
      <c r="B4" s="60" t="s">
        <v>69</v>
      </c>
      <c r="C4" s="60" t="s">
        <v>70</v>
      </c>
      <c r="D4" s="60" t="s">
        <v>78</v>
      </c>
      <c r="E4" s="60" t="s">
        <v>71</v>
      </c>
      <c r="F4" s="60" t="s">
        <v>79</v>
      </c>
      <c r="G4" s="60" t="s">
        <v>72</v>
      </c>
      <c r="H4" s="60" t="s">
        <v>80</v>
      </c>
      <c r="I4" s="60" t="s">
        <v>73</v>
      </c>
      <c r="J4" s="60" t="s">
        <v>109</v>
      </c>
      <c r="K4" s="60" t="s">
        <v>74</v>
      </c>
      <c r="L4" s="60" t="s">
        <v>110</v>
      </c>
      <c r="M4" s="60" t="s">
        <v>75</v>
      </c>
      <c r="N4" s="60" t="s">
        <v>111</v>
      </c>
      <c r="O4" s="60" t="s">
        <v>76</v>
      </c>
      <c r="P4" s="1"/>
    </row>
    <row r="5" spans="1:16" ht="15.75" thickTop="1">
      <c r="A5" s="1">
        <v>-5000</v>
      </c>
      <c r="B5" s="25">
        <v>0</v>
      </c>
      <c r="C5" s="1">
        <v>0</v>
      </c>
      <c r="D5" s="1">
        <v>0</v>
      </c>
      <c r="E5" s="25">
        <v>0</v>
      </c>
      <c r="F5" s="1">
        <v>0</v>
      </c>
      <c r="G5" s="25">
        <v>0</v>
      </c>
      <c r="H5" s="1">
        <v>0</v>
      </c>
      <c r="I5" s="25">
        <v>0</v>
      </c>
      <c r="J5" s="1">
        <v>0</v>
      </c>
      <c r="K5" s="25">
        <v>0</v>
      </c>
      <c r="L5" s="1">
        <v>0</v>
      </c>
      <c r="M5" s="25">
        <v>0</v>
      </c>
      <c r="N5" s="1">
        <v>0</v>
      </c>
      <c r="O5" s="25">
        <v>0</v>
      </c>
      <c r="P5" s="1"/>
    </row>
    <row r="6" spans="1:16">
      <c r="A6" s="1">
        <v>0</v>
      </c>
      <c r="B6" s="25">
        <v>0</v>
      </c>
      <c r="C6" s="1">
        <v>0</v>
      </c>
      <c r="D6" s="1">
        <v>0</v>
      </c>
      <c r="E6" s="25">
        <v>0</v>
      </c>
      <c r="F6" s="1">
        <v>0</v>
      </c>
      <c r="G6" s="25">
        <v>0</v>
      </c>
      <c r="H6" s="1">
        <v>0</v>
      </c>
      <c r="I6" s="25">
        <v>0</v>
      </c>
      <c r="J6" s="1">
        <v>0</v>
      </c>
      <c r="K6" s="25">
        <v>0</v>
      </c>
      <c r="L6" s="1">
        <v>0</v>
      </c>
      <c r="M6" s="25">
        <v>0</v>
      </c>
      <c r="N6" s="1">
        <v>0</v>
      </c>
      <c r="O6" s="25">
        <v>0</v>
      </c>
      <c r="P6" s="1"/>
    </row>
    <row r="7" spans="1:16">
      <c r="A7" s="87">
        <v>6400</v>
      </c>
      <c r="B7" s="88">
        <v>0.1</v>
      </c>
      <c r="C7">
        <v>0</v>
      </c>
      <c r="D7">
        <v>0</v>
      </c>
      <c r="E7" s="88">
        <v>0</v>
      </c>
      <c r="F7">
        <v>0</v>
      </c>
      <c r="G7" s="88">
        <v>0</v>
      </c>
      <c r="H7">
        <v>0</v>
      </c>
      <c r="I7" s="88">
        <v>0</v>
      </c>
      <c r="J7">
        <v>0</v>
      </c>
      <c r="K7" s="88">
        <v>0</v>
      </c>
      <c r="L7">
        <v>0</v>
      </c>
      <c r="M7" s="88">
        <v>0</v>
      </c>
      <c r="N7">
        <v>0</v>
      </c>
      <c r="O7" s="88">
        <v>0</v>
      </c>
      <c r="P7" s="1"/>
    </row>
    <row r="8" spans="1:16">
      <c r="A8" s="87">
        <v>18325</v>
      </c>
      <c r="B8" s="88">
        <v>0.12</v>
      </c>
      <c r="C8" s="87">
        <v>1192.5</v>
      </c>
      <c r="D8" s="87">
        <v>6400</v>
      </c>
      <c r="E8" s="88">
        <v>0.1</v>
      </c>
      <c r="F8">
        <v>0</v>
      </c>
      <c r="G8" s="88">
        <v>0</v>
      </c>
      <c r="H8">
        <v>0</v>
      </c>
      <c r="I8" s="88">
        <v>0</v>
      </c>
      <c r="J8">
        <v>0</v>
      </c>
      <c r="K8" s="88">
        <v>0</v>
      </c>
      <c r="L8">
        <v>0</v>
      </c>
      <c r="M8" s="88">
        <v>0</v>
      </c>
      <c r="N8">
        <v>0</v>
      </c>
      <c r="O8" s="88">
        <v>0</v>
      </c>
      <c r="P8" s="1"/>
    </row>
    <row r="9" spans="1:16">
      <c r="A9" s="87">
        <v>54875</v>
      </c>
      <c r="B9" s="88">
        <v>0.22</v>
      </c>
      <c r="C9" s="87">
        <v>5578.5</v>
      </c>
      <c r="D9" s="87">
        <v>18325</v>
      </c>
      <c r="E9" s="88">
        <v>0.12</v>
      </c>
      <c r="F9" s="87">
        <v>6400</v>
      </c>
      <c r="G9" s="88">
        <v>0.1</v>
      </c>
      <c r="H9">
        <v>0</v>
      </c>
      <c r="I9" s="88">
        <v>0</v>
      </c>
      <c r="J9">
        <v>0</v>
      </c>
      <c r="K9" s="88">
        <v>0</v>
      </c>
      <c r="L9">
        <v>0</v>
      </c>
      <c r="M9" s="88">
        <v>0</v>
      </c>
      <c r="N9">
        <v>0</v>
      </c>
      <c r="O9" s="88">
        <v>0</v>
      </c>
      <c r="P9" s="1"/>
    </row>
    <row r="10" spans="1:16">
      <c r="A10" s="87">
        <v>109750</v>
      </c>
      <c r="B10" s="88">
        <v>0.24</v>
      </c>
      <c r="C10" s="87">
        <v>17651</v>
      </c>
      <c r="D10" s="87">
        <v>54875</v>
      </c>
      <c r="E10" s="88">
        <v>0.22</v>
      </c>
      <c r="F10" s="87">
        <v>18325</v>
      </c>
      <c r="G10" s="88">
        <v>0.12</v>
      </c>
      <c r="H10" s="87">
        <v>6400</v>
      </c>
      <c r="I10" s="88">
        <v>0.1</v>
      </c>
      <c r="J10">
        <v>0</v>
      </c>
      <c r="K10" s="88">
        <v>0</v>
      </c>
      <c r="L10">
        <v>0</v>
      </c>
      <c r="M10" s="88">
        <v>0</v>
      </c>
      <c r="N10">
        <v>0</v>
      </c>
      <c r="O10" s="88">
        <v>0</v>
      </c>
      <c r="P10" s="1"/>
    </row>
    <row r="11" spans="1:16">
      <c r="A11" s="87">
        <v>203700</v>
      </c>
      <c r="B11" s="88">
        <v>0.32</v>
      </c>
      <c r="C11" s="87">
        <v>40199</v>
      </c>
      <c r="D11" s="87">
        <v>109750</v>
      </c>
      <c r="E11" s="88">
        <v>0.24</v>
      </c>
      <c r="F11" s="87">
        <v>54875</v>
      </c>
      <c r="G11" s="88">
        <v>0.22</v>
      </c>
      <c r="H11" s="87">
        <v>18325</v>
      </c>
      <c r="I11" s="88">
        <v>0.12</v>
      </c>
      <c r="J11" s="87">
        <v>6400</v>
      </c>
      <c r="K11" s="88">
        <v>0.1</v>
      </c>
      <c r="L11">
        <v>0</v>
      </c>
      <c r="M11" s="88">
        <v>0</v>
      </c>
      <c r="N11">
        <v>0</v>
      </c>
      <c r="O11" s="88">
        <v>0</v>
      </c>
      <c r="P11" s="1"/>
    </row>
    <row r="12" spans="1:16">
      <c r="A12" s="87">
        <v>256925</v>
      </c>
      <c r="B12" s="88">
        <v>0.35</v>
      </c>
      <c r="C12" s="87">
        <v>57231</v>
      </c>
      <c r="D12" s="87">
        <v>203700</v>
      </c>
      <c r="E12" s="88">
        <v>0.32</v>
      </c>
      <c r="F12" s="87">
        <v>109750</v>
      </c>
      <c r="G12" s="88">
        <v>0.24</v>
      </c>
      <c r="H12" s="87">
        <v>54875</v>
      </c>
      <c r="I12" s="88">
        <v>0.22</v>
      </c>
      <c r="J12" s="87">
        <v>18325</v>
      </c>
      <c r="K12" s="88">
        <v>0.12</v>
      </c>
      <c r="L12" s="87">
        <v>6400</v>
      </c>
      <c r="M12" s="88">
        <v>0.1</v>
      </c>
      <c r="N12">
        <v>0</v>
      </c>
      <c r="O12" s="88">
        <v>0</v>
      </c>
      <c r="P12" s="1"/>
    </row>
    <row r="13" spans="1:16">
      <c r="A13" s="87">
        <v>632750</v>
      </c>
      <c r="B13" s="88">
        <v>0.37</v>
      </c>
      <c r="C13" s="87">
        <v>188769.75</v>
      </c>
      <c r="D13" s="87">
        <v>256925</v>
      </c>
      <c r="E13" s="88">
        <v>0.35</v>
      </c>
      <c r="F13" s="87">
        <v>203700</v>
      </c>
      <c r="G13" s="88">
        <v>0.32</v>
      </c>
      <c r="H13" s="87">
        <v>109750</v>
      </c>
      <c r="I13" s="88">
        <v>0.24</v>
      </c>
      <c r="J13" s="87">
        <v>54875</v>
      </c>
      <c r="K13" s="88">
        <v>0.22</v>
      </c>
      <c r="L13" s="87">
        <v>18325</v>
      </c>
      <c r="M13" s="88">
        <v>0.12</v>
      </c>
      <c r="N13" s="87">
        <v>6400</v>
      </c>
      <c r="O13" s="88">
        <v>0.1</v>
      </c>
      <c r="P13" s="1"/>
    </row>
    <row r="14" spans="1:16" ht="15.75">
      <c r="A14" s="1">
        <v>100000000</v>
      </c>
      <c r="B14" s="73" t="s">
        <v>77</v>
      </c>
      <c r="C14" s="73" t="s">
        <v>77</v>
      </c>
      <c r="D14" s="73" t="s">
        <v>77</v>
      </c>
      <c r="E14" s="73" t="s">
        <v>77</v>
      </c>
      <c r="F14" s="73" t="s">
        <v>77</v>
      </c>
      <c r="G14" s="73" t="s">
        <v>77</v>
      </c>
      <c r="H14" s="73" t="s">
        <v>77</v>
      </c>
      <c r="I14" s="73" t="s">
        <v>77</v>
      </c>
      <c r="J14" s="73" t="s">
        <v>77</v>
      </c>
      <c r="K14" s="73" t="s">
        <v>77</v>
      </c>
      <c r="L14" s="73" t="s">
        <v>77</v>
      </c>
      <c r="M14" s="73" t="s">
        <v>77</v>
      </c>
      <c r="N14" s="73" t="s">
        <v>77</v>
      </c>
      <c r="O14" s="73" t="s">
        <v>77</v>
      </c>
      <c r="P14" s="1"/>
    </row>
    <row r="15" spans="1:16" ht="16.5" thickBot="1">
      <c r="A15" s="61" t="s">
        <v>63</v>
      </c>
      <c r="B15" s="61"/>
      <c r="C15" s="62">
        <v>4300</v>
      </c>
      <c r="D15" s="61">
        <v>176100</v>
      </c>
      <c r="E15" s="61" t="s">
        <v>42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thickBot="1">
      <c r="A16" s="28" t="s">
        <v>62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thickTop="1" thickBot="1">
      <c r="A17" s="60" t="s">
        <v>68</v>
      </c>
      <c r="B17" s="60" t="s">
        <v>69</v>
      </c>
      <c r="C17" s="60" t="s">
        <v>70</v>
      </c>
      <c r="D17" s="60" t="s">
        <v>78</v>
      </c>
      <c r="E17" s="60" t="s">
        <v>71</v>
      </c>
      <c r="F17" s="60" t="s">
        <v>79</v>
      </c>
      <c r="G17" s="60" t="s">
        <v>72</v>
      </c>
      <c r="H17" s="60" t="s">
        <v>80</v>
      </c>
      <c r="I17" s="60" t="s">
        <v>73</v>
      </c>
      <c r="J17" s="60" t="s">
        <v>109</v>
      </c>
      <c r="K17" s="60" t="s">
        <v>74</v>
      </c>
      <c r="L17" s="60" t="s">
        <v>110</v>
      </c>
      <c r="M17" s="60" t="s">
        <v>75</v>
      </c>
      <c r="N17" s="60" t="s">
        <v>111</v>
      </c>
      <c r="O17" s="60" t="s">
        <v>76</v>
      </c>
      <c r="P17" s="1"/>
    </row>
    <row r="18" spans="1:16" ht="15.75" thickTop="1">
      <c r="A18" s="1">
        <v>-5000</v>
      </c>
      <c r="B18" s="25">
        <v>0</v>
      </c>
      <c r="C18" s="1">
        <v>0</v>
      </c>
      <c r="D18" s="1">
        <v>0</v>
      </c>
      <c r="E18" s="25">
        <v>0</v>
      </c>
      <c r="F18" s="1">
        <v>0</v>
      </c>
      <c r="G18" s="25">
        <v>0</v>
      </c>
      <c r="H18" s="1">
        <v>0</v>
      </c>
      <c r="I18" s="25">
        <v>0</v>
      </c>
      <c r="J18" s="1">
        <v>0</v>
      </c>
      <c r="K18" s="25">
        <v>0</v>
      </c>
      <c r="L18" s="1">
        <v>0</v>
      </c>
      <c r="M18" s="25">
        <v>0</v>
      </c>
      <c r="N18" s="1">
        <v>0</v>
      </c>
      <c r="O18" s="25">
        <v>0</v>
      </c>
      <c r="P18" s="1"/>
    </row>
    <row r="19" spans="1:16">
      <c r="A19" s="1">
        <v>0</v>
      </c>
      <c r="B19" s="25">
        <v>0</v>
      </c>
      <c r="C19" s="1">
        <v>0</v>
      </c>
      <c r="D19" s="1">
        <v>0</v>
      </c>
      <c r="E19" s="25">
        <v>0</v>
      </c>
      <c r="F19" s="1">
        <v>0</v>
      </c>
      <c r="G19" s="25">
        <v>0</v>
      </c>
      <c r="H19" s="1">
        <v>0</v>
      </c>
      <c r="I19" s="25">
        <v>0</v>
      </c>
      <c r="J19" s="1">
        <v>0</v>
      </c>
      <c r="K19" s="25">
        <v>0</v>
      </c>
      <c r="L19" s="1">
        <v>0</v>
      </c>
      <c r="M19" s="25">
        <v>0</v>
      </c>
      <c r="N19" s="1">
        <v>0</v>
      </c>
      <c r="O19" s="25">
        <v>0</v>
      </c>
      <c r="P19" s="1"/>
    </row>
    <row r="20" spans="1:16">
      <c r="A20" s="87">
        <v>17100</v>
      </c>
      <c r="B20" s="88">
        <v>0.1</v>
      </c>
      <c r="C20">
        <v>0</v>
      </c>
      <c r="D20">
        <v>0</v>
      </c>
      <c r="E20" s="88">
        <v>0</v>
      </c>
      <c r="F20">
        <v>0</v>
      </c>
      <c r="G20" s="88">
        <v>0</v>
      </c>
      <c r="H20">
        <v>0</v>
      </c>
      <c r="I20" s="88">
        <v>0</v>
      </c>
      <c r="J20">
        <v>0</v>
      </c>
      <c r="K20" s="88">
        <v>0</v>
      </c>
      <c r="L20">
        <v>0</v>
      </c>
      <c r="M20" s="88">
        <v>0</v>
      </c>
      <c r="N20">
        <v>0</v>
      </c>
      <c r="O20" s="88">
        <v>0</v>
      </c>
      <c r="P20" s="1"/>
    </row>
    <row r="21" spans="1:16">
      <c r="A21" s="87">
        <v>40950</v>
      </c>
      <c r="B21" s="88">
        <v>0.12</v>
      </c>
      <c r="C21" s="87">
        <v>2385</v>
      </c>
      <c r="D21" s="87">
        <v>17100</v>
      </c>
      <c r="E21" s="88">
        <v>0.1</v>
      </c>
      <c r="F21">
        <v>0</v>
      </c>
      <c r="G21" s="88">
        <v>0</v>
      </c>
      <c r="H21">
        <v>0</v>
      </c>
      <c r="I21" s="88">
        <v>0</v>
      </c>
      <c r="J21">
        <v>0</v>
      </c>
      <c r="K21" s="88">
        <v>0</v>
      </c>
      <c r="L21">
        <v>0</v>
      </c>
      <c r="M21" s="88">
        <v>0</v>
      </c>
      <c r="N21">
        <v>0</v>
      </c>
      <c r="O21" s="88">
        <v>0</v>
      </c>
      <c r="P21" s="1"/>
    </row>
    <row r="22" spans="1:16">
      <c r="A22" s="87">
        <v>114050</v>
      </c>
      <c r="B22" s="88">
        <v>0.22</v>
      </c>
      <c r="C22" s="87">
        <v>11157</v>
      </c>
      <c r="D22" s="87">
        <v>40950</v>
      </c>
      <c r="E22" s="88">
        <v>0.12</v>
      </c>
      <c r="F22" s="87">
        <v>17100</v>
      </c>
      <c r="G22" s="88">
        <v>0.1</v>
      </c>
      <c r="H22">
        <v>0</v>
      </c>
      <c r="I22" s="88">
        <v>0</v>
      </c>
      <c r="J22">
        <v>0</v>
      </c>
      <c r="K22" s="88">
        <v>0</v>
      </c>
      <c r="L22">
        <v>0</v>
      </c>
      <c r="M22" s="88">
        <v>0</v>
      </c>
      <c r="N22">
        <v>0</v>
      </c>
      <c r="O22" s="88">
        <v>0</v>
      </c>
      <c r="P22" s="1"/>
    </row>
    <row r="23" spans="1:16">
      <c r="A23" s="87">
        <v>223800</v>
      </c>
      <c r="B23" s="88">
        <v>0.24</v>
      </c>
      <c r="C23" s="87">
        <v>35302</v>
      </c>
      <c r="D23" s="87">
        <v>114050</v>
      </c>
      <c r="E23" s="88">
        <v>0.22</v>
      </c>
      <c r="F23" s="87">
        <v>40950</v>
      </c>
      <c r="G23" s="88">
        <v>0.12</v>
      </c>
      <c r="H23" s="87">
        <v>17100</v>
      </c>
      <c r="I23" s="88">
        <v>0.1</v>
      </c>
      <c r="J23">
        <v>0</v>
      </c>
      <c r="K23" s="88">
        <v>0</v>
      </c>
      <c r="L23">
        <v>0</v>
      </c>
      <c r="M23" s="88">
        <v>0</v>
      </c>
      <c r="N23">
        <v>0</v>
      </c>
      <c r="O23" s="88">
        <v>0</v>
      </c>
      <c r="P23" s="1"/>
    </row>
    <row r="24" spans="1:16">
      <c r="A24" s="87">
        <v>411700</v>
      </c>
      <c r="B24" s="88">
        <v>0.32</v>
      </c>
      <c r="C24" s="87">
        <v>80398</v>
      </c>
      <c r="D24" s="87">
        <v>223800</v>
      </c>
      <c r="E24" s="88">
        <v>0.24</v>
      </c>
      <c r="F24" s="87">
        <v>114050</v>
      </c>
      <c r="G24" s="88">
        <v>0.22</v>
      </c>
      <c r="H24" s="87">
        <v>40950</v>
      </c>
      <c r="I24" s="88">
        <v>0.12</v>
      </c>
      <c r="J24" s="87">
        <v>17100</v>
      </c>
      <c r="K24" s="88">
        <v>0.1</v>
      </c>
      <c r="L24">
        <v>0</v>
      </c>
      <c r="M24" s="88">
        <v>0</v>
      </c>
      <c r="N24">
        <v>0</v>
      </c>
      <c r="O24" s="88">
        <v>0</v>
      </c>
      <c r="P24" s="1"/>
    </row>
    <row r="25" spans="1:16">
      <c r="A25" s="87">
        <v>518150</v>
      </c>
      <c r="B25" s="88">
        <v>0.35</v>
      </c>
      <c r="C25" s="87">
        <v>114462</v>
      </c>
      <c r="D25" s="87">
        <v>411700</v>
      </c>
      <c r="E25" s="88">
        <v>0.32</v>
      </c>
      <c r="F25" s="87">
        <v>223800</v>
      </c>
      <c r="G25" s="88">
        <v>0.24</v>
      </c>
      <c r="H25" s="87">
        <v>114050</v>
      </c>
      <c r="I25" s="88">
        <v>0.22</v>
      </c>
      <c r="J25" s="87">
        <v>40950</v>
      </c>
      <c r="K25" s="88">
        <v>0.12</v>
      </c>
      <c r="L25" s="87">
        <v>17100</v>
      </c>
      <c r="M25" s="88">
        <v>0.1</v>
      </c>
      <c r="N25">
        <v>0</v>
      </c>
      <c r="O25" s="88">
        <v>0</v>
      </c>
      <c r="P25" s="1"/>
    </row>
    <row r="26" spans="1:16">
      <c r="A26" s="87">
        <v>768700</v>
      </c>
      <c r="B26" s="88">
        <v>0.37</v>
      </c>
      <c r="C26" s="87">
        <v>202154.5</v>
      </c>
      <c r="D26" s="87">
        <v>518150</v>
      </c>
      <c r="E26" s="88">
        <v>0.35</v>
      </c>
      <c r="F26" s="87">
        <v>411700</v>
      </c>
      <c r="G26" s="88">
        <v>0.32</v>
      </c>
      <c r="H26" s="87">
        <v>223800</v>
      </c>
      <c r="I26" s="88">
        <v>0.24</v>
      </c>
      <c r="J26" s="87">
        <v>114050</v>
      </c>
      <c r="K26" s="88">
        <v>0.22</v>
      </c>
      <c r="L26" s="87">
        <v>40950</v>
      </c>
      <c r="M26" s="88">
        <v>0.12</v>
      </c>
      <c r="N26" s="87">
        <v>17100</v>
      </c>
      <c r="O26" s="88">
        <v>0.1</v>
      </c>
      <c r="P26" s="1"/>
    </row>
    <row r="27" spans="1:16" ht="15.75">
      <c r="A27" s="1">
        <v>100000000</v>
      </c>
      <c r="B27" s="74" t="s">
        <v>77</v>
      </c>
      <c r="C27" s="74" t="s">
        <v>77</v>
      </c>
      <c r="D27" s="74" t="s">
        <v>77</v>
      </c>
      <c r="E27" s="74" t="s">
        <v>77</v>
      </c>
      <c r="F27" s="74" t="s">
        <v>77</v>
      </c>
      <c r="G27" s="74" t="s">
        <v>77</v>
      </c>
      <c r="H27" s="74" t="s">
        <v>77</v>
      </c>
      <c r="I27" s="74" t="s">
        <v>77</v>
      </c>
      <c r="J27" s="74" t="s">
        <v>77</v>
      </c>
      <c r="K27" s="74" t="s">
        <v>77</v>
      </c>
      <c r="L27" s="74" t="s">
        <v>77</v>
      </c>
      <c r="M27" s="74" t="s">
        <v>77</v>
      </c>
      <c r="N27" s="74" t="s">
        <v>77</v>
      </c>
      <c r="O27" s="74" t="s">
        <v>77</v>
      </c>
      <c r="P27" s="1"/>
    </row>
    <row r="28" spans="1:16" ht="20.25" thickBot="1">
      <c r="A28" s="28" t="s">
        <v>65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8.75" thickTop="1" thickBot="1">
      <c r="A29" s="60" t="s">
        <v>68</v>
      </c>
      <c r="B29" s="60" t="s">
        <v>69</v>
      </c>
      <c r="C29" s="60" t="s">
        <v>70</v>
      </c>
      <c r="D29" s="60" t="s">
        <v>78</v>
      </c>
      <c r="E29" s="60" t="s">
        <v>71</v>
      </c>
      <c r="F29" s="60" t="s">
        <v>79</v>
      </c>
      <c r="G29" s="60" t="s">
        <v>72</v>
      </c>
      <c r="H29" s="60" t="s">
        <v>80</v>
      </c>
      <c r="I29" s="60" t="s">
        <v>73</v>
      </c>
      <c r="J29" s="1"/>
      <c r="K29" s="1"/>
      <c r="L29" s="1"/>
      <c r="M29" s="1"/>
      <c r="N29" s="1"/>
      <c r="O29" s="1"/>
      <c r="P29" s="1"/>
    </row>
    <row r="30" spans="1:16" ht="15.75" thickTop="1">
      <c r="A30" s="1">
        <v>-500000</v>
      </c>
      <c r="B30" s="34">
        <v>0</v>
      </c>
      <c r="C30" s="1">
        <v>0</v>
      </c>
      <c r="D30" s="1">
        <v>0</v>
      </c>
      <c r="E30" s="34">
        <v>0</v>
      </c>
      <c r="F30" s="1">
        <v>0</v>
      </c>
      <c r="G30" s="34">
        <v>0</v>
      </c>
      <c r="H30" s="1">
        <v>0</v>
      </c>
      <c r="I30" s="34">
        <v>0</v>
      </c>
      <c r="J30" s="1"/>
      <c r="K30" s="1"/>
      <c r="L30" s="1"/>
      <c r="M30" s="1"/>
      <c r="N30" s="1"/>
      <c r="O30" s="1"/>
      <c r="P30" s="1"/>
    </row>
    <row r="31" spans="1:16">
      <c r="A31" s="1">
        <v>0</v>
      </c>
      <c r="B31" s="34">
        <v>0</v>
      </c>
      <c r="C31" s="1">
        <v>0</v>
      </c>
      <c r="D31" s="1">
        <v>0</v>
      </c>
      <c r="E31" s="34">
        <v>0</v>
      </c>
      <c r="F31" s="1">
        <v>0</v>
      </c>
      <c r="G31" s="34">
        <v>0</v>
      </c>
      <c r="H31" s="1">
        <v>0</v>
      </c>
      <c r="I31" s="34">
        <v>0</v>
      </c>
      <c r="J31" s="1"/>
      <c r="K31" s="1"/>
      <c r="L31" s="1"/>
      <c r="M31" s="1"/>
      <c r="N31" s="1"/>
      <c r="O31" s="1"/>
      <c r="P31" s="1"/>
    </row>
    <row r="32" spans="1:16">
      <c r="A32">
        <v>4550</v>
      </c>
      <c r="B32" s="89">
        <v>5.3499999999999999E-2</v>
      </c>
      <c r="C32">
        <v>0</v>
      </c>
      <c r="D32">
        <v>0</v>
      </c>
      <c r="E32" s="89">
        <v>0</v>
      </c>
      <c r="F32">
        <v>0</v>
      </c>
      <c r="G32" s="89">
        <v>0</v>
      </c>
      <c r="H32">
        <v>0</v>
      </c>
      <c r="I32" s="89">
        <v>0</v>
      </c>
      <c r="J32" s="1"/>
      <c r="K32" s="1"/>
      <c r="L32" s="1"/>
      <c r="M32" s="1"/>
      <c r="N32" s="1"/>
      <c r="O32" s="1"/>
      <c r="P32" s="1"/>
    </row>
    <row r="33" spans="1:16">
      <c r="A33">
        <v>37120</v>
      </c>
      <c r="B33" s="89">
        <v>6.8000000000000005E-2</v>
      </c>
      <c r="C33">
        <v>1742.5</v>
      </c>
      <c r="D33">
        <v>4550</v>
      </c>
      <c r="E33" s="89">
        <v>5.3499999999999999E-2</v>
      </c>
      <c r="F33">
        <v>0</v>
      </c>
      <c r="G33" s="89">
        <v>0</v>
      </c>
      <c r="H33">
        <v>0</v>
      </c>
      <c r="I33" s="89">
        <v>0</v>
      </c>
      <c r="J33" s="1"/>
      <c r="K33" s="1"/>
      <c r="L33" s="1"/>
      <c r="M33" s="1"/>
      <c r="N33" s="1"/>
      <c r="O33" s="1"/>
      <c r="P33" s="1"/>
    </row>
    <row r="34" spans="1:16">
      <c r="A34">
        <v>111540</v>
      </c>
      <c r="B34" s="89">
        <v>7.85E-2</v>
      </c>
      <c r="C34">
        <v>6803.06</v>
      </c>
      <c r="D34">
        <v>37120</v>
      </c>
      <c r="E34" s="89">
        <v>6.8000000000000005E-2</v>
      </c>
      <c r="F34">
        <v>4550</v>
      </c>
      <c r="G34" s="89">
        <v>5.3499999999999999E-2</v>
      </c>
      <c r="H34">
        <v>0</v>
      </c>
      <c r="I34" s="89">
        <v>0</v>
      </c>
      <c r="J34" s="1"/>
      <c r="K34" s="1"/>
      <c r="L34" s="1"/>
      <c r="M34" s="1"/>
      <c r="N34" s="1"/>
      <c r="O34" s="1"/>
      <c r="P34" s="1"/>
    </row>
    <row r="35" spans="1:16">
      <c r="A35">
        <v>203180</v>
      </c>
      <c r="B35" s="89">
        <v>9.8500000000000004E-2</v>
      </c>
      <c r="C35">
        <v>13996.8</v>
      </c>
      <c r="D35">
        <v>111540</v>
      </c>
      <c r="E35" s="89">
        <v>7.85E-2</v>
      </c>
      <c r="F35">
        <v>37120</v>
      </c>
      <c r="G35" s="89">
        <v>6.8000000000000005E-2</v>
      </c>
      <c r="H35">
        <v>4550</v>
      </c>
      <c r="I35" s="89">
        <v>5.3499999999999999E-2</v>
      </c>
      <c r="J35" s="1"/>
      <c r="K35" s="1"/>
      <c r="L35" s="1"/>
      <c r="M35" s="1"/>
      <c r="N35" s="1"/>
      <c r="O35" s="1"/>
      <c r="P35" s="1"/>
    </row>
    <row r="36" spans="1:16" ht="15.75">
      <c r="A36" s="1">
        <v>100000000</v>
      </c>
      <c r="B36" s="74" t="s">
        <v>77</v>
      </c>
      <c r="C36" s="74" t="s">
        <v>77</v>
      </c>
      <c r="D36" s="74" t="s">
        <v>77</v>
      </c>
      <c r="E36" s="74" t="s">
        <v>77</v>
      </c>
      <c r="F36" s="74" t="s">
        <v>77</v>
      </c>
      <c r="G36" s="74" t="s">
        <v>77</v>
      </c>
      <c r="H36" s="74" t="s">
        <v>77</v>
      </c>
      <c r="I36" s="74" t="s">
        <v>77</v>
      </c>
      <c r="J36" s="1"/>
      <c r="K36" s="1"/>
      <c r="L36" s="1"/>
      <c r="M36" s="1"/>
      <c r="N36" s="1"/>
      <c r="O36" s="1"/>
      <c r="P36" s="1"/>
    </row>
    <row r="37" spans="1:16" ht="16.5" thickBot="1">
      <c r="A37" s="61" t="s">
        <v>64</v>
      </c>
      <c r="B37" s="61"/>
      <c r="C37" s="61">
        <v>5200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thickBot="1">
      <c r="A38" s="28" t="s">
        <v>66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8.75" thickTop="1" thickBot="1">
      <c r="A39" s="60" t="s">
        <v>68</v>
      </c>
      <c r="B39" s="60" t="s">
        <v>69</v>
      </c>
      <c r="C39" s="60" t="s">
        <v>70</v>
      </c>
      <c r="D39" s="60" t="s">
        <v>78</v>
      </c>
      <c r="E39" s="60" t="s">
        <v>71</v>
      </c>
      <c r="F39" s="60" t="s">
        <v>79</v>
      </c>
      <c r="G39" s="60" t="s">
        <v>72</v>
      </c>
      <c r="H39" s="60" t="s">
        <v>80</v>
      </c>
      <c r="I39" s="60" t="s">
        <v>73</v>
      </c>
      <c r="J39" s="1"/>
      <c r="K39" s="1"/>
      <c r="L39" s="1"/>
      <c r="M39" s="1"/>
      <c r="N39" s="1"/>
      <c r="O39" s="1"/>
      <c r="P39" s="1"/>
    </row>
    <row r="40" spans="1:16" ht="15.75" thickTop="1">
      <c r="A40" s="1">
        <v>-500000</v>
      </c>
      <c r="B40" s="34">
        <v>0</v>
      </c>
      <c r="C40" s="1">
        <v>0</v>
      </c>
      <c r="D40" s="1">
        <v>0</v>
      </c>
      <c r="E40" s="34">
        <v>0</v>
      </c>
      <c r="F40" s="1">
        <v>0</v>
      </c>
      <c r="G40" s="34">
        <v>0</v>
      </c>
      <c r="H40" s="1">
        <v>0</v>
      </c>
      <c r="I40" s="34">
        <v>0</v>
      </c>
      <c r="J40" s="1"/>
      <c r="K40" s="1"/>
      <c r="L40" s="1"/>
      <c r="M40" s="1"/>
      <c r="N40" s="1"/>
      <c r="O40" s="1"/>
      <c r="P40" s="1"/>
    </row>
    <row r="41" spans="1:16">
      <c r="A41" s="1">
        <v>0</v>
      </c>
      <c r="B41" s="34">
        <v>0</v>
      </c>
      <c r="C41" s="1">
        <v>0</v>
      </c>
      <c r="D41" s="1">
        <v>0</v>
      </c>
      <c r="E41" s="34">
        <v>0</v>
      </c>
      <c r="F41" s="1">
        <v>0</v>
      </c>
      <c r="G41" s="34">
        <v>0</v>
      </c>
      <c r="H41" s="1">
        <v>0</v>
      </c>
      <c r="I41" s="34">
        <v>0</v>
      </c>
      <c r="J41" s="1"/>
      <c r="K41" s="1"/>
      <c r="L41" s="1"/>
      <c r="M41" s="1"/>
      <c r="N41" s="1"/>
      <c r="O41" s="1"/>
      <c r="P41" s="1"/>
    </row>
    <row r="42" spans="1:16">
      <c r="A42">
        <v>14300</v>
      </c>
      <c r="B42" s="89">
        <v>5.3499999999999999E-2</v>
      </c>
      <c r="C42">
        <v>0</v>
      </c>
      <c r="D42">
        <v>0</v>
      </c>
      <c r="E42" s="89">
        <v>0</v>
      </c>
      <c r="F42">
        <v>0</v>
      </c>
      <c r="G42" s="89">
        <v>0</v>
      </c>
      <c r="H42">
        <v>0</v>
      </c>
      <c r="I42" s="89">
        <v>0</v>
      </c>
      <c r="J42" s="1"/>
      <c r="K42" s="1"/>
      <c r="L42" s="1"/>
      <c r="M42" s="1"/>
      <c r="N42" s="1"/>
      <c r="O42" s="1"/>
      <c r="P42" s="1"/>
    </row>
    <row r="43" spans="1:16">
      <c r="A43">
        <v>61920</v>
      </c>
      <c r="B43" s="89">
        <v>6.8000000000000005E-2</v>
      </c>
      <c r="C43">
        <v>2547.67</v>
      </c>
      <c r="D43">
        <v>14300</v>
      </c>
      <c r="E43" s="89">
        <v>5.3499999999999999E-2</v>
      </c>
      <c r="F43">
        <v>0</v>
      </c>
      <c r="G43" s="89">
        <v>0</v>
      </c>
      <c r="H43">
        <v>0</v>
      </c>
      <c r="I43" s="89">
        <v>0</v>
      </c>
      <c r="J43" s="1"/>
      <c r="K43" s="1"/>
      <c r="L43" s="1"/>
      <c r="M43" s="1"/>
      <c r="N43" s="1"/>
      <c r="O43" s="1"/>
      <c r="P43" s="1"/>
    </row>
    <row r="44" spans="1:16">
      <c r="A44">
        <v>203480</v>
      </c>
      <c r="B44" s="89">
        <v>7.85E-2</v>
      </c>
      <c r="C44">
        <v>12173.75</v>
      </c>
      <c r="D44">
        <v>61920</v>
      </c>
      <c r="E44" s="89">
        <v>6.8000000000000005E-2</v>
      </c>
      <c r="F44">
        <v>14300</v>
      </c>
      <c r="G44" s="89">
        <v>5.3499999999999999E-2</v>
      </c>
      <c r="H44">
        <v>0</v>
      </c>
      <c r="I44" s="89">
        <v>0</v>
      </c>
      <c r="J44" s="1"/>
      <c r="K44" s="1"/>
      <c r="L44" s="1"/>
      <c r="M44" s="1"/>
      <c r="N44" s="1"/>
      <c r="O44" s="1"/>
      <c r="P44" s="1"/>
    </row>
    <row r="45" spans="1:16">
      <c r="A45">
        <v>344710</v>
      </c>
      <c r="B45" s="89">
        <v>9.8500000000000004E-2</v>
      </c>
      <c r="C45">
        <v>23260.31</v>
      </c>
      <c r="D45">
        <v>203480</v>
      </c>
      <c r="E45" s="89">
        <v>7.85E-2</v>
      </c>
      <c r="F45">
        <v>61920</v>
      </c>
      <c r="G45" s="89">
        <v>6.8000000000000005E-2</v>
      </c>
      <c r="H45">
        <v>14300</v>
      </c>
      <c r="I45" s="89">
        <v>5.3499999999999999E-2</v>
      </c>
      <c r="J45" s="1"/>
      <c r="K45" s="1"/>
      <c r="L45" s="1"/>
      <c r="M45" s="1"/>
      <c r="N45" s="1"/>
      <c r="O45" s="1"/>
      <c r="P45" s="1"/>
    </row>
    <row r="46" spans="1:16" ht="15.75">
      <c r="A46" s="1">
        <v>100000000</v>
      </c>
      <c r="B46" s="74" t="s">
        <v>77</v>
      </c>
      <c r="C46" s="74" t="s">
        <v>77</v>
      </c>
      <c r="D46" s="74" t="s">
        <v>77</v>
      </c>
      <c r="E46" s="74" t="s">
        <v>77</v>
      </c>
      <c r="F46" s="74" t="s">
        <v>77</v>
      </c>
      <c r="G46" s="74" t="s">
        <v>77</v>
      </c>
      <c r="H46" s="74" t="s">
        <v>77</v>
      </c>
      <c r="I46" s="74" t="s">
        <v>77</v>
      </c>
      <c r="J46" s="1"/>
      <c r="K46" s="1"/>
      <c r="L46" s="1"/>
      <c r="M46" s="1"/>
      <c r="N46" s="1"/>
      <c r="O46" s="1"/>
      <c r="P46" s="1"/>
    </row>
    <row r="47" spans="1:16" ht="15.75">
      <c r="A47" s="74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" hidden="1" customHeight="1"/>
  </sheetData>
  <sheetProtection algorithmName="SHA-512" hashValue="hP/ttPsJHpeHDATYP8tcxUfGqTQ878qMObcODqAaGM7OqG07OyL8Qu4pwd6Y/b8KCZnclCanJaiEbrsnaCpZgA==" saltValue="2MZ4rvnzGKCGfiZR56/0ng==" spinCount="100000" sheet="1" objects="1" scenarios="1"/>
  <pageMargins left="0.7" right="0.7" top="0.75" bottom="0.75" header="0.3" footer="0.3"/>
  <pageSetup scale="67" orientation="landscape" r:id="rId1"/>
  <headerFooter>
    <oddHeader>&amp;LMinnesota Mgmt &amp; Budget&amp;C&amp;F&amp;R&amp;D &amp;T</oddHeader>
    <oddFooter>&amp;C&amp;A&amp;R&amp;P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SEMCAL</vt:lpstr>
      <vt:lpstr>FedTax</vt:lpstr>
      <vt:lpstr>StateTax</vt:lpstr>
      <vt:lpstr>TaxTable</vt:lpstr>
      <vt:lpstr>FedTax!Print_Area</vt:lpstr>
      <vt:lpstr>SEMCAL!Print_Area</vt:lpstr>
      <vt:lpstr>StateTax!Print_Area</vt:lpstr>
      <vt:lpstr>TaxTable!Print_Area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Pay Calculator</dc:title>
  <dc:subject>Calculating Form Federal, State, FICA and Medicare Taxes</dc:subject>
  <dc:creator>State of Minnesota</dc:creator>
  <cp:lastModifiedBy>LaChapelle, Laura (MMB)</cp:lastModifiedBy>
  <cp:lastPrinted>2019-12-26T15:47:42Z</cp:lastPrinted>
  <dcterms:created xsi:type="dcterms:W3CDTF">1998-12-07T20:46:59Z</dcterms:created>
  <dcterms:modified xsi:type="dcterms:W3CDTF">2024-12-31T20:18:51Z</dcterms:modified>
</cp:coreProperties>
</file>