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AML06\Desktop\2022 corrected frameworks\Day\"/>
    </mc:Choice>
  </mc:AlternateContent>
  <bookViews>
    <workbookView xWindow="0" yWindow="0" windowWidth="19200" windowHeight="7050" tabRatio="871"/>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Adult Day Rate Framework" sheetId="9" r:id="rId8"/>
    <sheet name="Version" sheetId="15" state="hidden" r:id="rId9"/>
  </sheets>
  <definedNames>
    <definedName name="Budget_Neutrality">'Adult Day Rate Framework'!$A$26:$B$27</definedName>
    <definedName name="columntitleregion1.b14.g20.1">'Direct Staffing'!$A$17:$F$19</definedName>
    <definedName name="Customization">'Direct Staffing'!$A$16:$F$19</definedName>
    <definedName name="DirectStaff">'Direct Staffing'!$A$6:$F$10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62913"/>
</workbook>
</file>

<file path=xl/calcChain.xml><?xml version="1.0" encoding="utf-8"?>
<calcChain xmlns="http://schemas.openxmlformats.org/spreadsheetml/2006/main">
  <c r="F14" i="10" l="1"/>
  <c r="D18" i="10"/>
  <c r="E18" i="10"/>
  <c r="C23" i="10"/>
  <c r="C27" i="10"/>
  <c r="B5" i="14" l="1"/>
  <c r="C9" i="11" l="1"/>
  <c r="C6" i="10"/>
  <c r="C10" i="10" s="1"/>
  <c r="E10" i="10" s="1"/>
  <c r="F10" i="10" s="1"/>
  <c r="D27" i="10"/>
  <c r="B7" i="16"/>
  <c r="B22" i="9" s="1"/>
  <c r="B5" i="16"/>
  <c r="D23" i="10"/>
  <c r="E14" i="10"/>
  <c r="G27" i="9"/>
  <c r="G28" i="9"/>
  <c r="I12" i="10"/>
  <c r="I11" i="10"/>
  <c r="I10" i="10"/>
  <c r="I9" i="10"/>
  <c r="I8" i="10"/>
  <c r="I7" i="10"/>
  <c r="I6" i="10"/>
  <c r="I5" i="10"/>
  <c r="I4" i="10"/>
  <c r="I3" i="10"/>
  <c r="F18" i="10"/>
  <c r="B13" i="9"/>
  <c r="E8" i="6"/>
  <c r="B19" i="9"/>
  <c r="B7" i="9"/>
  <c r="C19" i="3"/>
  <c r="B10" i="9"/>
  <c r="A5" i="14"/>
  <c r="C5" i="14" s="1"/>
  <c r="B16" i="9" s="1"/>
  <c r="D16" i="9" s="1"/>
  <c r="D31" i="10" l="1"/>
  <c r="C34" i="10" s="1"/>
  <c r="B4" i="9" s="1"/>
  <c r="D4" i="9" s="1"/>
  <c r="D7" i="9" l="1"/>
  <c r="D10" i="9" s="1"/>
  <c r="D13" i="9" l="1"/>
  <c r="E19" i="9" s="1"/>
  <c r="D19" i="9" l="1"/>
  <c r="D22" i="9"/>
  <c r="D24" i="9" s="1"/>
  <c r="B24" i="9" s="1"/>
  <c r="G29" i="9" s="1"/>
  <c r="B27" i="9" s="1"/>
  <c r="B30" i="9" s="1"/>
  <c r="B33" i="9" s="1"/>
  <c r="B36" i="9" s="1"/>
  <c r="B39" i="9" s="1"/>
  <c r="B42" i="9" s="1"/>
  <c r="B45" i="9" s="1"/>
  <c r="B48" i="9" s="1"/>
</calcChain>
</file>

<file path=xl/sharedStrings.xml><?xml version="1.0" encoding="utf-8"?>
<sst xmlns="http://schemas.openxmlformats.org/spreadsheetml/2006/main" count="355" uniqueCount="256">
  <si>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</si>
  <si>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</si>
  <si>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</si>
  <si>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</si>
  <si>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</si>
  <si>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</si>
  <si>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</si>
  <si>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</si>
  <si>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</si>
  <si>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</si>
  <si>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</si>
  <si>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</si>
  <si>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</si>
  <si>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</si>
  <si>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</si>
  <si>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</si>
  <si>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</si>
  <si>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</si>
  <si>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</si>
  <si>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</si>
  <si>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</si>
  <si>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</si>
  <si>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</si>
  <si>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</si>
  <si>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</si>
  <si>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</si>
  <si>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</si>
  <si>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</si>
  <si>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</si>
  <si>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</si>
  <si>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</si>
  <si>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</si>
  <si>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</si>
  <si>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</si>
  <si>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</si>
  <si>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</si>
  <si>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</si>
  <si>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</si>
  <si>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</si>
  <si>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</si>
  <si>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</si>
  <si>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</si>
  <si>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</si>
  <si>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</si>
  <si>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</si>
  <si>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</si>
  <si>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</si>
  <si>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</si>
  <si>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</si>
  <si>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</si>
  <si>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</si>
  <si>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</si>
  <si>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</si>
  <si>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</si>
  <si>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</si>
  <si>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</si>
  <si>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</si>
  <si>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</si>
  <si>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1:6</t>
  </si>
  <si>
    <t>1:8</t>
  </si>
  <si>
    <t>1:10</t>
  </si>
  <si>
    <t>Direct Staff</t>
  </si>
  <si>
    <t>Total % of program support</t>
  </si>
  <si>
    <t>FRAMEWORK FOR ADULT DAY CARE SERVICES</t>
  </si>
  <si>
    <t>Program Support standard</t>
  </si>
  <si>
    <t>Program Facility cost</t>
  </si>
  <si>
    <t>Standard G&amp;A</t>
  </si>
  <si>
    <t>Program G&amp;A</t>
  </si>
  <si>
    <t>Dental insurance</t>
  </si>
  <si>
    <t>Percentage of direct care to cover staffing benefits</t>
  </si>
  <si>
    <t>Step 2. Total Client Programming and Supports percentage</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</si>
  <si>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Adult Day Care Service to provide in-program transportation for the participant to increase access to the community outside the Adult Day Care location                                                                 - State plan or other available waiver services must be accessed first, and those services must be billed separately.
</t>
  </si>
  <si>
    <t>Program Related Expenses</t>
  </si>
  <si>
    <t>Step 1. Add in standard general and administrative support percentage</t>
  </si>
  <si>
    <t>Utilization Factor</t>
  </si>
  <si>
    <t>Total Program Related Expenses percentage</t>
  </si>
  <si>
    <t>1:5</t>
  </si>
  <si>
    <t>1:7</t>
  </si>
  <si>
    <t>1:9</t>
  </si>
  <si>
    <t>Rate Calculation:</t>
  </si>
  <si>
    <t>* Total Employee Related Expense Percentage</t>
  </si>
  <si>
    <t>Direct Staff Supervision</t>
  </si>
  <si>
    <t>No Customization</t>
  </si>
  <si>
    <t>Supervision Percent</t>
  </si>
  <si>
    <t>Budget Neutrality Factor</t>
  </si>
  <si>
    <t>Units</t>
  </si>
  <si>
    <t>Total cost</t>
  </si>
  <si>
    <t>Pro-rated cost of staff per Unit</t>
  </si>
  <si>
    <t>Total cost per Unit</t>
  </si>
  <si>
    <t>Total Cost per Unit</t>
  </si>
  <si>
    <t>Staffing Customization Amount per Unit</t>
  </si>
  <si>
    <t>Total  Units</t>
  </si>
  <si>
    <t>Rate per person per Unit</t>
  </si>
  <si>
    <t>Unit Facility Cost</t>
  </si>
  <si>
    <t>Total costs for staffing per unit</t>
  </si>
  <si>
    <t>Unit Rate</t>
  </si>
  <si>
    <t>Supervision Units</t>
  </si>
  <si>
    <t>Unit Budget Neutrality</t>
  </si>
  <si>
    <t>Direct service staff necessary to support and related to the provision of Adult Day Care when not engaged in direct contact with clients.</t>
  </si>
  <si>
    <t>RN</t>
  </si>
  <si>
    <t>RN Amount</t>
  </si>
  <si>
    <t>LPN</t>
  </si>
  <si>
    <t>LPN Amount</t>
  </si>
  <si>
    <t>RN Unit Wage</t>
  </si>
  <si>
    <t>LPN Unit Wage</t>
  </si>
  <si>
    <t>4/1/2014 COLA</t>
  </si>
  <si>
    <t>Cost of Living Adjustment</t>
  </si>
  <si>
    <t>Original Total Unit Rate</t>
  </si>
  <si>
    <t>Post COLA Total Unit Rate</t>
  </si>
  <si>
    <t>7/1/2014 COLA</t>
  </si>
  <si>
    <t>Post 7/1/14 COLA Rate</t>
  </si>
  <si>
    <t>Post 4/1/14 COLA Rate</t>
  </si>
  <si>
    <t>7/1/2015 COLA</t>
  </si>
  <si>
    <t>Post 7/1/15 COLA Rate</t>
  </si>
  <si>
    <t>Region</t>
  </si>
  <si>
    <t>COR Lead Agency</t>
  </si>
  <si>
    <t xml:space="preserve">MSA Region </t>
  </si>
  <si>
    <t>Aitkin</t>
  </si>
  <si>
    <t>Anoka</t>
  </si>
  <si>
    <t>Becker</t>
  </si>
  <si>
    <t>Beltrami</t>
  </si>
  <si>
    <t>Benton</t>
  </si>
  <si>
    <t>Big Stone</t>
  </si>
  <si>
    <t>Blue Earth</t>
  </si>
  <si>
    <t>Brown</t>
  </si>
  <si>
    <t>Carlton</t>
  </si>
  <si>
    <t>Carver</t>
  </si>
  <si>
    <t>Cass</t>
  </si>
  <si>
    <t>Chippewa</t>
  </si>
  <si>
    <t>Chisago</t>
  </si>
  <si>
    <t>Clay</t>
  </si>
  <si>
    <t>Clearwater</t>
  </si>
  <si>
    <t>Cook</t>
  </si>
  <si>
    <t>Cottonwood</t>
  </si>
  <si>
    <t>Crow Wing</t>
  </si>
  <si>
    <t>Dakota</t>
  </si>
  <si>
    <t>Dodge</t>
  </si>
  <si>
    <t>Douglas</t>
  </si>
  <si>
    <t>Faribault</t>
  </si>
  <si>
    <t>Fillmore</t>
  </si>
  <si>
    <t>Freeborn</t>
  </si>
  <si>
    <t>Goodhue</t>
  </si>
  <si>
    <t>Grant</t>
  </si>
  <si>
    <t>Hennepin</t>
  </si>
  <si>
    <t>Houston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</si>
  <si>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</si>
  <si>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</si>
  <si>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</si>
  <si>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</si>
  <si>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</si>
  <si>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</si>
  <si>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</si>
  <si>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</si>
  <si>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</si>
  <si>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</si>
  <si>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</si>
  <si>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</si>
  <si>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</si>
  <si>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</si>
  <si>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</si>
  <si>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</si>
  <si>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</si>
  <si>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</si>
  <si>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</si>
  <si>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</si>
  <si>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</si>
  <si>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</si>
  <si>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</si>
  <si>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</si>
  <si>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</si>
  <si>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</si>
  <si>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</si>
  <si>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</si>
  <si>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</si>
  <si>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</si>
  <si>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</si>
  <si>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</si>
  <si>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</si>
  <si>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</si>
  <si>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</si>
  <si>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</si>
  <si>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</si>
  <si>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</si>
  <si>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</si>
  <si>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</si>
  <si>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</si>
  <si>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</si>
  <si>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</si>
  <si>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</si>
  <si>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</si>
  <si>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</si>
  <si>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</si>
  <si>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</si>
  <si>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</si>
  <si>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</si>
  <si>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</si>
  <si>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</si>
  <si>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</si>
  <si>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</si>
  <si>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</si>
  <si>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</si>
  <si>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</si>
  <si>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</si>
  <si>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</si>
  <si>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RVF</t>
  </si>
  <si>
    <t>Northeast Region</t>
  </si>
  <si>
    <t>Metro Region</t>
  </si>
  <si>
    <t>Northwest Region</t>
  </si>
  <si>
    <t>St. Cloud Region</t>
  </si>
  <si>
    <t>Southwest Region</t>
  </si>
  <si>
    <t>Mankato Region</t>
  </si>
  <si>
    <t>Southeast Region</t>
  </si>
  <si>
    <t>Duluth Region</t>
  </si>
  <si>
    <t>Fargo Region</t>
  </si>
  <si>
    <t>Rochester Region</t>
  </si>
  <si>
    <t>Lacrosse Region</t>
  </si>
  <si>
    <t>Grand Forks Region</t>
  </si>
  <si>
    <t>Step 1: Select County of Residence</t>
  </si>
  <si>
    <t>County of Residence</t>
  </si>
  <si>
    <t>Unspecified Region</t>
  </si>
  <si>
    <t>Regional Variance Factor</t>
  </si>
  <si>
    <t>-</t>
  </si>
  <si>
    <t>Regional Variance</t>
  </si>
  <si>
    <t>Select County</t>
  </si>
  <si>
    <t>LPN Units</t>
  </si>
  <si>
    <t>RN Units</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</si>
  <si>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</si>
  <si>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</si>
  <si>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</si>
  <si>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</si>
  <si>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</si>
  <si>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</si>
  <si>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</si>
  <si>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</si>
  <si>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</si>
  <si>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</si>
  <si>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</si>
  <si>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</si>
  <si>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Base hourly wage</t>
  </si>
  <si>
    <t>Competitive Workforce Factor (CWF)</t>
  </si>
  <si>
    <t>Total wage per hour of service</t>
  </si>
  <si>
    <t xml:space="preserve">Step 2. Add wage for direct staff </t>
  </si>
  <si>
    <t>CWF Wage</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</si>
  <si>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</si>
  <si>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</si>
  <si>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</si>
  <si>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</si>
  <si>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</si>
  <si>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</si>
  <si>
    <t>Step 1. Determine wage for direct care worker</t>
  </si>
  <si>
    <t>Implementation version (Reused Adult Day 15min Excel and updated base wage to $14.29 and Client Programming and Supports to 7.4%)</t>
  </si>
  <si>
    <t>Version 13</t>
  </si>
  <si>
    <t>No Change</t>
  </si>
  <si>
    <t>Version 14</t>
  </si>
  <si>
    <t>Version 15</t>
  </si>
  <si>
    <t>New value for direct care staff wage,supervisor wage,RN wage,LPN wage,client programming and support component,program facility component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</si>
</sst>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000_);_(&quot;$&quot;* \(#,##0.000\);_(&quot;$&quot;* &quot;-&quot;??_);_(@_)"/>
  </numFmts>
  <fonts count="14"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sz val="10"/>
      <name val="Arial"/>
      <family val="2"/>
    </font>
    <font>
      <b/>
      <sz val="11"/>
      <color rgb="FF000000"/>
      <name val="Calibri"/>
      <family val="2"/>
      <scheme val="minor"/>
    </font>
    <font>
      <sz val="11"/>
      <color rgb="FF000000"/>
      <name val="Calibri"/>
      <family val="2"/>
      <scheme val="minor"/>
    </font>
    <font>
      <sz val="10"/>
      <color theme="0"/>
      <name val="Arial"/>
      <family val="2"/>
    </font>
    <font>
      <sz val="10"/>
      <color theme="1"/>
      <name val="Arial"/>
      <family val="2"/>
    </font>
    <font>
      <b/>
      <sz val="10"/>
      <color theme="1"/>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95">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0" fontId="0" fillId="4" borderId="1" xfId="0" applyFill="1" applyBorder="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165" fontId="7" fillId="0" borderId="0" xfId="5" applyNumberFormat="1" applyFont="1" applyFill="1" applyProtection="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righ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righ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righ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righ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4" fillId="2" borderId="0" xfId="0" applyFont="1" applyFill="1" applyAlignment="1"/>
    <xf numFmtId="0" fontId="3" fillId="2" borderId="0" xfId="0" applyFont="1" applyFill="1" applyAlignment="1"/>
    <xf numFmtId="0" fontId="1" fillId="4" borderId="0" xfId="0" applyFont="1" applyFill="1" applyBorder="1"/>
    <xf numFmtId="0" fontId="0" fillId="0" borderId="0" xfId="0" applyAlignment="1">
      <alignment wrapText="1"/>
    </xf>
    <xf numFmtId="0" fontId="9" fillId="8" borderId="28" xfId="0" applyFont="1" applyFill="1" applyBorder="1" applyAlignment="1">
      <alignment vertical="center"/>
    </xf>
    <xf numFmtId="0" fontId="10" fillId="0" borderId="28" xfId="0" applyFont="1" applyBorder="1" applyAlignment="1">
      <alignment vertical="center"/>
    </xf>
    <xf numFmtId="0" fontId="0" fillId="0" borderId="28" xfId="0" applyFont="1" applyBorder="1" applyAlignment="1">
      <alignment vertical="top"/>
    </xf>
    <xf numFmtId="0" fontId="0" fillId="0" borderId="0" xfId="0" applyAlignment="1">
      <alignment horizontal="left"/>
    </xf>
    <xf numFmtId="0" fontId="9" fillId="8" borderId="28" xfId="0" applyFont="1" applyFill="1" applyBorder="1" applyAlignment="1">
      <alignment horizontal="left" vertical="center"/>
    </xf>
    <xf numFmtId="0" fontId="10" fillId="5" borderId="28" xfId="0" applyFont="1" applyFill="1" applyBorder="1" applyAlignment="1">
      <alignment vertical="center"/>
    </xf>
    <xf numFmtId="0" fontId="10" fillId="5" borderId="28" xfId="0" quotePrefix="1" applyFont="1" applyFill="1" applyBorder="1" applyAlignment="1">
      <alignment horizontal="left" vertical="center"/>
    </xf>
    <xf numFmtId="0" fontId="3" fillId="4" borderId="0" xfId="0" applyFont="1" applyFill="1" applyBorder="1"/>
    <xf numFmtId="44" fontId="5" fillId="4" borderId="0" xfId="2" applyFont="1" applyFill="1" applyBorder="1"/>
    <xf numFmtId="0" fontId="1" fillId="4" borderId="0" xfId="0" applyFont="1" applyFill="1"/>
    <xf numFmtId="0" fontId="11" fillId="4" borderId="0" xfId="0" applyFont="1" applyFill="1"/>
    <xf numFmtId="166" fontId="0" fillId="0" borderId="28" xfId="0" applyNumberFormat="1" applyBorder="1"/>
    <xf numFmtId="0" fontId="5" fillId="4" borderId="0" xfId="0" applyFont="1" applyFill="1" applyBorder="1" applyAlignment="1"/>
    <xf numFmtId="10" fontId="5" fillId="4" borderId="0" xfId="5" applyNumberFormat="1" applyFont="1" applyFill="1" applyBorder="1" applyAlignment="1">
      <alignment vertical="top"/>
    </xf>
    <xf numFmtId="44" fontId="0" fillId="9" borderId="0" xfId="0" applyNumberFormat="1" applyFill="1" applyBorder="1"/>
    <xf numFmtId="0" fontId="12" fillId="2" borderId="0" xfId="0" applyFont="1" applyFill="1"/>
    <xf numFmtId="0" fontId="12" fillId="4" borderId="0" xfId="0" applyFont="1" applyFill="1"/>
    <xf numFmtId="0" fontId="13" fillId="2" borderId="0" xfId="0" applyFont="1" applyFill="1"/>
    <xf numFmtId="44" fontId="12" fillId="4" borderId="0" xfId="0" applyNumberFormat="1" applyFont="1" applyFill="1"/>
    <xf numFmtId="44" fontId="12" fillId="4" borderId="0" xfId="2" applyFont="1" applyFill="1"/>
    <xf numFmtId="165" fontId="12" fillId="4" borderId="0" xfId="0" applyNumberFormat="1" applyFont="1" applyFill="1"/>
    <xf numFmtId="10" fontId="12" fillId="4" borderId="0" xfId="0" applyNumberFormat="1" applyFont="1" applyFill="1"/>
    <xf numFmtId="10" fontId="8" fillId="9" borderId="1" xfId="5" applyNumberFormat="1" applyFont="1" applyFill="1" applyBorder="1"/>
    <xf numFmtId="44" fontId="12" fillId="9" borderId="0" xfId="2" applyFont="1" applyFill="1"/>
    <xf numFmtId="44" fontId="11" fillId="9" borderId="0" xfId="0" applyNumberFormat="1" applyFont="1" applyFill="1"/>
    <xf numFmtId="44" fontId="1" fillId="0" borderId="1" xfId="2" applyNumberFormat="1" applyFont="1" applyFill="1" applyBorder="1"/>
    <xf numFmtId="44" fontId="0" fillId="2" borderId="1" xfId="2" quotePrefix="1" applyNumberFormat="1" applyFont="1" applyFill="1" applyBorder="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44" fontId="12" fillId="2" borderId="0" xfId="2" applyFont="1" applyFill="1"/>
    <xf numFmtId="0" fontId="10" fillId="0" borderId="29" xfId="0" applyFont="1" applyBorder="1" applyAlignment="1">
      <alignment vertical="center"/>
    </xf>
    <xf numFmtId="0" fontId="0" fillId="0" borderId="29" xfId="0" applyFont="1" applyBorder="1" applyAlignment="1">
      <alignment vertical="top"/>
    </xf>
    <xf numFmtId="166" fontId="0" fillId="0" borderId="29" xfId="0" applyNumberFormat="1" applyBorder="1"/>
    <xf numFmtId="0" fontId="0" fillId="5" borderId="1" xfId="0" applyFill="1" applyBorder="1"/>
    <xf numFmtId="166" fontId="0" fillId="5" borderId="1" xfId="0" applyNumberFormat="1" applyFill="1" applyBorder="1"/>
    <xf numFmtId="0" fontId="3" fillId="4" borderId="0" xfId="0" applyFont="1" applyFill="1" applyProtection="1">
      <protection hidden="1"/>
    </xf>
    <xf numFmtId="165" fontId="7" fillId="0" borderId="0" xfId="5" applyNumberFormat="1" applyFont="1" applyFill="1" applyProtection="1">
      <protection hidden="1"/>
    </xf>
    <xf numFmtId="0" fontId="12" fillId="4" borderId="0" xfId="0" applyFont="1" applyFill="1" applyProtection="1">
      <protection hidden="1"/>
    </xf>
    <xf numFmtId="0" fontId="11"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7" fontId="12" fillId="4" borderId="0" xfId="0" applyNumberFormat="1" applyFont="1" applyFill="1" applyProtection="1">
      <protection hidden="1"/>
    </xf>
    <xf numFmtId="165" fontId="11"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12" fillId="4" borderId="0" xfId="2" applyFont="1" applyFill="1" applyProtection="1">
      <protection hidden="1"/>
    </xf>
    <xf numFmtId="0" fontId="12"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0" fontId="1" fillId="0" borderId="0" xfId="0" applyFont="1" applyAlignment="1" applyProtection="1">
      <alignment wrapText="1"/>
      <protection hidden="1"/>
    </xf>
    <xf numFmtId="0" fontId="1" fillId="0" borderId="0" xfId="0" applyFont="1" applyProtection="1">
      <protection hidden="1"/>
    </xf>
    <xf numFmtId="0" fontId="3" fillId="2" borderId="0" xfId="4" applyFont="1" applyFill="1"/>
    <xf numFmtId="10" fontId="1" fillId="2" borderId="1" xfId="5" applyNumberFormat="1" applyFont="1" applyFill="1" applyBorder="1"/>
    <xf numFmtId="2" fontId="1" fillId="0" borderId="1" xfId="2" applyNumberFormat="1" applyFont="1" applyFill="1" applyBorder="1"/>
    <xf numFmtId="14" fontId="0" fillId="0" borderId="0" xfId="0" applyNumberFormat="1"/>
    <xf numFmtId="44" fontId="1" fillId="0" borderId="1" xfId="2" applyFont="1" applyFill="1" applyBorder="1" applyAlignment="1" applyProtection="1">
      <alignment horizontal="right" vertical="top"/>
    </xf>
    <xf numFmtId="44" fontId="1" fillId="0" borderId="1" xfId="3" applyNumberFormat="1" applyFont="1" applyFill="1" applyBorder="1"/>
    <xf numFmtId="10" fontId="0" fillId="0" borderId="1" xfId="5" applyNumberFormat="1" applyFont="1" applyFill="1" applyBorder="1" applyAlignment="1">
      <alignment horizontal="right" vertical="top"/>
    </xf>
    <xf numFmtId="44" fontId="0" fillId="0" borderId="1" xfId="2" applyFont="1" applyFill="1" applyBorder="1" applyAlignment="1">
      <alignment vertical="top"/>
    </xf>
    <xf numFmtId="10" fontId="0" fillId="0" borderId="1" xfId="0" applyNumberFormat="1" applyFill="1" applyBorder="1"/>
    <xf numFmtId="44" fontId="0" fillId="0" borderId="1" xfId="0" applyNumberFormat="1" applyFill="1" applyBorder="1"/>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5" borderId="6" xfId="4" applyFont="1" applyFill="1" applyBorder="1" applyAlignment="1">
      <alignment horizontal="left"/>
    </xf>
    <xf numFmtId="0" fontId="1" fillId="5"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0" fillId="2" borderId="23" xfId="0"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3" zoomScaleNormal="93" workbookViewId="0">
      <selection activeCell="B10" sqref="B10"/>
    </sheetView>
  </sheetViews>
  <sheetFormatPr defaultColWidth="9.1796875" defaultRowHeight="12.5" x14ac:dyDescent="0.25"/>
  <cols>
    <col min="1" max="1" width="30.54296875" style="57" customWidth="1"/>
    <col min="2" max="2" width="13" style="81" customWidth="1"/>
    <col min="3" max="3" width="14.7265625" style="81" customWidth="1"/>
    <col min="4" max="4" width="14.7265625" style="82" customWidth="1"/>
    <col min="5" max="5" width="17.453125" style="82" customWidth="1"/>
    <col min="6" max="6" width="17" style="81" customWidth="1"/>
    <col min="7" max="7" width="9.26953125" style="57" customWidth="1"/>
    <col min="8" max="11" width="9.1796875" style="57" hidden="1" customWidth="1"/>
    <col min="12" max="13" width="9.1796875" style="57" customWidth="1"/>
    <col min="14" max="16384" width="9.1796875" style="57"/>
  </cols>
  <sheetData>
    <row r="1" spans="1:11" ht="15" customHeight="1" x14ac:dyDescent="0.35">
      <c r="A1" s="85" t="s">
        <v>18</v>
      </c>
      <c r="B1" s="57"/>
      <c r="C1" s="57"/>
      <c r="D1" s="57"/>
      <c r="E1" s="57"/>
      <c r="F1" s="57"/>
    </row>
    <row r="2" spans="1:11" ht="15" customHeight="1" thickBot="1" x14ac:dyDescent="0.35">
      <c r="A2" s="86"/>
      <c r="B2" s="57"/>
      <c r="C2" s="57"/>
      <c r="D2" s="57"/>
      <c r="E2" s="57"/>
      <c r="F2" s="57"/>
    </row>
    <row r="3" spans="1:11" ht="15" customHeight="1" x14ac:dyDescent="0.3">
      <c r="A3" s="143" t="s">
        <v>249</v>
      </c>
      <c r="B3" s="143"/>
      <c r="C3" s="143"/>
      <c r="D3" s="57"/>
      <c r="E3" s="57"/>
      <c r="F3" s="57"/>
      <c r="H3" s="58" t="s">
        <v>54</v>
      </c>
      <c r="I3" s="59">
        <f>1/1</f>
        <v>1</v>
      </c>
      <c r="J3" s="59">
        <v>1</v>
      </c>
      <c r="K3" s="60">
        <v>1</v>
      </c>
    </row>
    <row r="4" spans="1:11" ht="15" customHeight="1" x14ac:dyDescent="0.25">
      <c r="A4" s="159" t="s">
        <v>238</v>
      </c>
      <c r="B4" s="160"/>
      <c r="C4" s="147">
        <v>15.82</v>
      </c>
      <c r="H4" s="61" t="s">
        <v>55</v>
      </c>
      <c r="I4" s="62">
        <f>1/0.548</f>
        <v>1.824817518248175</v>
      </c>
      <c r="J4" s="62">
        <v>2</v>
      </c>
      <c r="K4" s="63">
        <v>0.54800000000000004</v>
      </c>
    </row>
    <row r="5" spans="1:11" x14ac:dyDescent="0.25">
      <c r="A5" s="159" t="s">
        <v>239</v>
      </c>
      <c r="B5" s="160"/>
      <c r="C5" s="144">
        <v>4.7E-2</v>
      </c>
      <c r="H5" s="66" t="s">
        <v>56</v>
      </c>
      <c r="I5" s="67">
        <f>1/0.397</f>
        <v>2.5188916876574305</v>
      </c>
      <c r="J5" s="67">
        <v>3</v>
      </c>
      <c r="K5" s="68">
        <v>0.39700000000000002</v>
      </c>
    </row>
    <row r="6" spans="1:11" ht="15" customHeight="1" x14ac:dyDescent="0.25">
      <c r="A6" s="159" t="s">
        <v>240</v>
      </c>
      <c r="B6" s="160"/>
      <c r="C6" s="148">
        <f>ROUND(C4*C5+C4,2)</f>
        <v>16.559999999999999</v>
      </c>
      <c r="D6" s="57"/>
      <c r="E6" s="57"/>
      <c r="F6" s="57"/>
      <c r="H6" s="71" t="s">
        <v>57</v>
      </c>
      <c r="I6" s="55">
        <f>1/0.321</f>
        <v>3.1152647975077881</v>
      </c>
      <c r="J6" s="55">
        <v>4</v>
      </c>
      <c r="K6" s="72">
        <v>0.32100000000000001</v>
      </c>
    </row>
    <row r="7" spans="1:11" ht="15" customHeight="1" x14ac:dyDescent="0.3">
      <c r="A7" s="5"/>
      <c r="B7" s="57"/>
      <c r="C7" s="57"/>
      <c r="D7" s="57"/>
      <c r="E7" s="57"/>
      <c r="F7" s="57"/>
      <c r="H7" s="71" t="s">
        <v>76</v>
      </c>
      <c r="I7" s="55">
        <f>1/0.276</f>
        <v>3.6231884057971011</v>
      </c>
      <c r="J7" s="55">
        <v>5</v>
      </c>
      <c r="K7" s="72">
        <v>0.27600000000000002</v>
      </c>
    </row>
    <row r="8" spans="1:11" ht="15" customHeight="1" x14ac:dyDescent="0.3">
      <c r="A8" s="5" t="s">
        <v>241</v>
      </c>
      <c r="B8" s="57"/>
      <c r="C8" s="57"/>
      <c r="D8" s="57"/>
      <c r="E8" s="57"/>
      <c r="F8" s="57"/>
      <c r="H8" s="71" t="s">
        <v>58</v>
      </c>
      <c r="I8" s="55">
        <f>1/0.246</f>
        <v>4.0650406504065044</v>
      </c>
      <c r="J8" s="55">
        <v>6</v>
      </c>
      <c r="K8" s="72">
        <v>0.246</v>
      </c>
    </row>
    <row r="9" spans="1:11" ht="15" customHeight="1" x14ac:dyDescent="0.25">
      <c r="A9" s="64" t="s">
        <v>0</v>
      </c>
      <c r="B9" s="65" t="s">
        <v>53</v>
      </c>
      <c r="C9" s="50" t="s">
        <v>242</v>
      </c>
      <c r="D9" s="22" t="s">
        <v>85</v>
      </c>
      <c r="E9" s="50" t="s">
        <v>86</v>
      </c>
      <c r="F9" s="51" t="s">
        <v>87</v>
      </c>
      <c r="H9" s="71" t="s">
        <v>77</v>
      </c>
      <c r="I9" s="55">
        <f>1/0.224</f>
        <v>4.4642857142857144</v>
      </c>
      <c r="J9" s="55">
        <v>7</v>
      </c>
      <c r="K9" s="72">
        <v>0.224</v>
      </c>
    </row>
    <row r="10" spans="1:11" ht="15" customHeight="1" x14ac:dyDescent="0.25">
      <c r="A10" s="69" t="s">
        <v>61</v>
      </c>
      <c r="B10" s="70" t="s">
        <v>60</v>
      </c>
      <c r="C10" s="16">
        <f>$C$6</f>
        <v>16.559999999999999</v>
      </c>
      <c r="D10" s="46">
        <v>1</v>
      </c>
      <c r="E10" s="145">
        <f>ROUND(C10/4,4)</f>
        <v>4.1399999999999997</v>
      </c>
      <c r="F10" s="114">
        <f>ROUND(E10/(VLOOKUP(B10,H3:K12,2,FALSE)),4)</f>
        <v>0.77</v>
      </c>
      <c r="H10" s="42" t="s">
        <v>59</v>
      </c>
      <c r="I10" s="55">
        <f>1/0.208</f>
        <v>4.8076923076923075</v>
      </c>
      <c r="J10" s="55">
        <v>8</v>
      </c>
      <c r="K10" s="72">
        <v>0.20799999999999999</v>
      </c>
    </row>
    <row r="11" spans="1:11" ht="15" customHeight="1" x14ac:dyDescent="0.25">
      <c r="B11" s="57"/>
      <c r="C11" s="57"/>
      <c r="D11" s="57"/>
      <c r="E11" s="57"/>
      <c r="F11" s="57"/>
      <c r="H11" s="42" t="s">
        <v>78</v>
      </c>
      <c r="I11" s="55">
        <f>1/0.196</f>
        <v>5.1020408163265305</v>
      </c>
      <c r="J11" s="55">
        <v>9</v>
      </c>
      <c r="K11" s="72">
        <v>0.19600000000000001</v>
      </c>
    </row>
    <row r="12" spans="1:11" ht="15" customHeight="1" thickBot="1" x14ac:dyDescent="0.35">
      <c r="A12" s="5" t="s">
        <v>243</v>
      </c>
      <c r="B12" s="57"/>
      <c r="C12" s="57"/>
      <c r="D12" s="57"/>
      <c r="E12" s="57"/>
      <c r="F12" s="57"/>
      <c r="H12" s="43" t="s">
        <v>60</v>
      </c>
      <c r="I12" s="56">
        <f>1/0.186</f>
        <v>5.376344086021505</v>
      </c>
      <c r="J12" s="56">
        <v>10</v>
      </c>
      <c r="K12" s="76">
        <v>0.186</v>
      </c>
    </row>
    <row r="13" spans="1:11" ht="25" x14ac:dyDescent="0.25">
      <c r="A13" s="44" t="s">
        <v>81</v>
      </c>
      <c r="B13" s="73"/>
      <c r="C13" s="23" t="s">
        <v>16</v>
      </c>
      <c r="D13" s="4" t="s">
        <v>83</v>
      </c>
      <c r="E13" s="4" t="s">
        <v>96</v>
      </c>
      <c r="F13" s="4" t="s">
        <v>88</v>
      </c>
    </row>
    <row r="14" spans="1:11" ht="15" customHeight="1" x14ac:dyDescent="0.25">
      <c r="A14" s="45" t="s">
        <v>81</v>
      </c>
      <c r="B14" s="74"/>
      <c r="C14" s="15">
        <v>21.13</v>
      </c>
      <c r="D14" s="48">
        <v>0.11</v>
      </c>
      <c r="E14" s="46">
        <f>ROUND(D10*D14,9)</f>
        <v>0.11</v>
      </c>
      <c r="F14" s="15">
        <f>((C14/4)*E14)/VLOOKUP(B10,H3:K12,2,FALSE)</f>
        <v>0.10807995000000001</v>
      </c>
    </row>
    <row r="15" spans="1:11" x14ac:dyDescent="0.25">
      <c r="B15" s="57"/>
      <c r="C15" s="57"/>
      <c r="D15" s="57"/>
      <c r="E15" s="57"/>
      <c r="F15" s="57"/>
    </row>
    <row r="16" spans="1:11" ht="13" x14ac:dyDescent="0.3">
      <c r="A16" s="8" t="s">
        <v>244</v>
      </c>
      <c r="B16" s="75"/>
      <c r="C16" s="6"/>
      <c r="D16" s="7"/>
      <c r="E16" s="7"/>
      <c r="F16" s="6"/>
    </row>
    <row r="17" spans="1:8" ht="37.5" x14ac:dyDescent="0.25">
      <c r="A17" s="13" t="s">
        <v>23</v>
      </c>
      <c r="B17" s="3" t="s">
        <v>14</v>
      </c>
      <c r="C17" s="4" t="s">
        <v>15</v>
      </c>
      <c r="D17" s="4" t="s">
        <v>91</v>
      </c>
      <c r="E17" s="13" t="s">
        <v>89</v>
      </c>
      <c r="F17" s="4" t="s">
        <v>90</v>
      </c>
    </row>
    <row r="18" spans="1:8" x14ac:dyDescent="0.25">
      <c r="A18" s="47" t="s">
        <v>82</v>
      </c>
      <c r="B18" s="9">
        <v>0</v>
      </c>
      <c r="C18" s="116">
        <v>0</v>
      </c>
      <c r="D18" s="161">
        <f>IF(C18&gt;0,D10,0)</f>
        <v>0</v>
      </c>
      <c r="E18" s="154">
        <f>ROUND((C18*D18)/4,9)</f>
        <v>0</v>
      </c>
      <c r="F18" s="154">
        <f>E18</f>
        <v>0</v>
      </c>
    </row>
    <row r="19" spans="1:8" x14ac:dyDescent="0.25">
      <c r="A19" s="47" t="s">
        <v>48</v>
      </c>
      <c r="B19" s="77">
        <v>2.5</v>
      </c>
      <c r="C19" s="117"/>
      <c r="D19" s="162"/>
      <c r="E19" s="154"/>
      <c r="F19" s="154"/>
    </row>
    <row r="20" spans="1:8" x14ac:dyDescent="0.25">
      <c r="B20" s="57"/>
      <c r="C20" s="57"/>
      <c r="D20" s="57"/>
      <c r="E20" s="57"/>
      <c r="F20" s="57"/>
    </row>
    <row r="21" spans="1:8" ht="13" x14ac:dyDescent="0.3">
      <c r="A21" s="5" t="s">
        <v>245</v>
      </c>
      <c r="B21" s="57"/>
      <c r="C21" s="57"/>
      <c r="D21" s="57"/>
      <c r="E21" s="57"/>
      <c r="F21" s="57"/>
      <c r="H21" s="57">
        <v>0</v>
      </c>
    </row>
    <row r="22" spans="1:8" x14ac:dyDescent="0.25">
      <c r="A22" s="83" t="s">
        <v>0</v>
      </c>
      <c r="B22" s="83" t="s">
        <v>224</v>
      </c>
      <c r="C22" s="83" t="s">
        <v>104</v>
      </c>
      <c r="D22" s="83" t="s">
        <v>102</v>
      </c>
      <c r="E22" s="57"/>
      <c r="F22" s="57"/>
      <c r="H22" s="57">
        <v>1</v>
      </c>
    </row>
    <row r="23" spans="1:8" x14ac:dyDescent="0.25">
      <c r="A23" s="47" t="s">
        <v>101</v>
      </c>
      <c r="B23" s="84"/>
      <c r="C23" s="16">
        <f>ROUND(23.16/4,4)</f>
        <v>5.79</v>
      </c>
      <c r="D23" s="9">
        <f>(C23*B23)</f>
        <v>0</v>
      </c>
      <c r="E23" s="57"/>
      <c r="F23" s="57"/>
      <c r="H23" s="57">
        <v>2</v>
      </c>
    </row>
    <row r="24" spans="1:8" x14ac:dyDescent="0.25">
      <c r="B24" s="57"/>
      <c r="C24" s="57"/>
      <c r="D24" s="57"/>
      <c r="E24" s="57"/>
      <c r="F24" s="57"/>
      <c r="H24" s="57">
        <v>3</v>
      </c>
    </row>
    <row r="25" spans="1:8" ht="13" x14ac:dyDescent="0.3">
      <c r="A25" s="5" t="s">
        <v>246</v>
      </c>
      <c r="B25" s="57"/>
      <c r="C25" s="57"/>
      <c r="D25" s="57"/>
      <c r="E25" s="57"/>
      <c r="F25" s="57"/>
      <c r="H25" s="57">
        <v>4</v>
      </c>
    </row>
    <row r="26" spans="1:8" x14ac:dyDescent="0.25">
      <c r="A26" s="83" t="s">
        <v>0</v>
      </c>
      <c r="B26" s="83" t="s">
        <v>225</v>
      </c>
      <c r="C26" s="83" t="s">
        <v>103</v>
      </c>
      <c r="D26" s="83" t="s">
        <v>100</v>
      </c>
      <c r="E26" s="57"/>
      <c r="F26" s="57"/>
      <c r="H26" s="57">
        <v>5</v>
      </c>
    </row>
    <row r="27" spans="1:8" x14ac:dyDescent="0.25">
      <c r="A27" s="47" t="s">
        <v>99</v>
      </c>
      <c r="B27" s="84"/>
      <c r="C27" s="16">
        <f>ROUND(37.77/4,9)</f>
        <v>9.4425000000000008</v>
      </c>
      <c r="D27" s="9">
        <f>(C27*B27)</f>
        <v>0</v>
      </c>
      <c r="E27" s="57"/>
      <c r="F27" s="57"/>
    </row>
    <row r="28" spans="1:8" x14ac:dyDescent="0.25">
      <c r="B28" s="57"/>
      <c r="C28" s="57"/>
      <c r="D28" s="57"/>
      <c r="E28" s="57"/>
      <c r="F28" s="57"/>
    </row>
    <row r="29" spans="1:8" ht="13" x14ac:dyDescent="0.3">
      <c r="A29" s="5" t="s">
        <v>247</v>
      </c>
      <c r="B29" s="57"/>
      <c r="C29" s="57"/>
      <c r="D29" s="57"/>
      <c r="E29" s="57"/>
      <c r="F29" s="57"/>
    </row>
    <row r="30" spans="1:8" x14ac:dyDescent="0.25">
      <c r="A30" s="44" t="s">
        <v>69</v>
      </c>
      <c r="B30" s="73"/>
      <c r="C30" s="73"/>
      <c r="D30" s="78" t="s">
        <v>17</v>
      </c>
      <c r="E30" s="57"/>
      <c r="F30" s="57"/>
    </row>
    <row r="31" spans="1:8" x14ac:dyDescent="0.25">
      <c r="A31" s="155" t="s">
        <v>29</v>
      </c>
      <c r="B31" s="156"/>
      <c r="C31" s="79">
        <v>8.7099999999999997E-2</v>
      </c>
      <c r="D31" s="9">
        <f>((F10+F14+F18+D27+D23)*C31)</f>
        <v>7.6480763645000005E-2</v>
      </c>
      <c r="E31" s="57"/>
      <c r="F31" s="57"/>
    </row>
    <row r="32" spans="1:8" x14ac:dyDescent="0.25">
      <c r="B32" s="57"/>
      <c r="C32" s="57"/>
      <c r="D32" s="57"/>
      <c r="E32" s="57"/>
      <c r="F32" s="57"/>
    </row>
    <row r="33" spans="1:6" ht="13" x14ac:dyDescent="0.3">
      <c r="A33" s="5" t="s">
        <v>248</v>
      </c>
      <c r="B33" s="57"/>
      <c r="C33" s="57"/>
      <c r="D33" s="57"/>
      <c r="E33" s="57"/>
      <c r="F33" s="57"/>
    </row>
    <row r="34" spans="1:6" x14ac:dyDescent="0.25">
      <c r="A34" s="157" t="s">
        <v>24</v>
      </c>
      <c r="B34" s="158"/>
      <c r="C34" s="80">
        <f>(F10+F14+F18+D27+D23+D31)</f>
        <v>0.95456071364500006</v>
      </c>
      <c r="D34" s="57"/>
      <c r="E34" s="57"/>
      <c r="F34" s="57"/>
    </row>
    <row r="35" spans="1:6" x14ac:dyDescent="0.25">
      <c r="B35" s="57"/>
      <c r="C35" s="57"/>
      <c r="D35" s="57"/>
      <c r="E35" s="57"/>
      <c r="F35" s="57"/>
    </row>
    <row r="36" spans="1:6" x14ac:dyDescent="0.25">
      <c r="B36" s="57"/>
      <c r="C36" s="57"/>
      <c r="D36" s="57"/>
      <c r="E36" s="57"/>
      <c r="F36" s="57"/>
    </row>
    <row r="44" spans="1:6" x14ac:dyDescent="0.25">
      <c r="B44" s="153"/>
    </row>
    <row r="45" spans="1:6" ht="19.5" customHeight="1" x14ac:dyDescent="0.25">
      <c r="B45" s="153"/>
    </row>
    <row r="46" spans="1:6" x14ac:dyDescent="0.25">
      <c r="B46" s="153"/>
    </row>
  </sheetData>
  <sheetProtection algorithmName="SHA-512" hashValue="hDKIgFJY0m5AdgL0ACxRokq0lnk+KkN6sPR4bitm6nvNKf1BbZGl/gkk6OOFnzKzm8kyZADfG9VmdeB/PkHIBQ==" saltValue="xLAcufOQPlYBTH91rpcVaA==" spinCount="100000" sheet="1" objects="1" scenarios="1"/>
  <mergeCells count="9">
    <mergeCell ref="A6:B6"/>
    <mergeCell ref="A4:B4"/>
    <mergeCell ref="A5:B5"/>
    <mergeCell ref="D18:D19"/>
    <mergeCell ref="B44:B46"/>
    <mergeCell ref="E18:E19"/>
    <mergeCell ref="F18:F19"/>
    <mergeCell ref="A31:B31"/>
    <mergeCell ref="A34:B34"/>
  </mergeCells>
  <phoneticPr fontId="2" type="noConversion"/>
  <dataValidations xWindow="638" yWindow="415" count="25">
    <dataValidation allowBlank="1" showInputMessage="1" showErrorMessage="1" prompt="Direct Staff Wage" sqref="C10"/>
    <dataValidation allowBlank="1" showInputMessage="1" showErrorMessage="1" prompt="Direct Staff Units" sqref="D10"/>
    <dataValidation allowBlank="1" showInputMessage="1" showErrorMessage="1" prompt="Direct Staff Total Cost per Unit formula is Wage divided by four" sqref="E10"/>
    <dataValidation allowBlank="1" showInputMessage="1" showErrorMessage="1" prompt="Direct Staff Pro-rated Cost of Staff per Unit formula is Total Cost per Unit divided by last digit of Staffing Ratio" sqref="F10"/>
    <dataValidation allowBlank="1" showInputMessage="1" showErrorMessage="1" prompt="Supervision Wage" sqref="C14"/>
    <dataValidation allowBlank="1" showInputMessage="1" showErrorMessage="1" prompt="Supervision Units formula is equal to Direct Staff Units times Supervision Percent" sqref="E14"/>
    <dataValidation allowBlank="1" showInputMessage="1" showErrorMessage="1" prompt="Supervision Total Cost per Unit formula is ((Supervision Wage divided by four) times Supervision Units)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dataValidation allowBlank="1" showInputMessage="1" showErrorMessage="1" prompt="Use CTRL plus arrow keys to move to edge of each table.  Use TAB to move to data entry fields" sqref="A1"/>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Unit formula is Add-on Amount times Staffing Customization Total Hours per Unit" sqref="E18:E19"/>
    <dataValidation allowBlank="1" showInputMessage="1" showErrorMessage="1" prompt="Staffing Customization Amount per Unit formula is equal to Total Cost per Unit" sqref="F18:F19"/>
    <dataValidation allowBlank="1" showInputMessage="1" showErrorMessage="1" prompt="Supervision Percent" sqref="D14"/>
    <dataValidation allowBlank="1" showInputMessage="1" showErrorMessage="1" prompt="If Add-on Choice Amount is greater than $0, Staffing Customization Total Units formula is equal to Direct Staff Units" sqref="D18:D19"/>
    <dataValidation type="decimal" operator="lessThan" allowBlank="1" showInputMessage="1" showErrorMessage="1" prompt="Select number of RN units.  Press ALT and the down arrow to bring up the drop down options.  Use arrow keys to scroll through the options and press ENTER on the appropriate selection." sqref="B27">
      <formula1>1.00000001</formula1>
    </dataValidation>
    <dataValidation allowBlank="1" showInputMessage="1" showErrorMessage="1" prompt="RN Unit Wage is $37.77 divided by four" sqref="C27"/>
    <dataValidation allowBlank="1" showInputMessage="1" showErrorMessage="1" prompt="LPN Unit Wage is $23.16 divided by four" sqref="C23"/>
    <dataValidation type="decimal" operator="lessThan" allowBlank="1" showInputMessage="1" showErrorMessage="1" prompt="Select number of LPN Units.  Press ALT and the down arrow to bring up the drop down options.  Use arrow keys to scroll through the options and press ENTER on the appropriate selection." sqref="B23">
      <formula1>1.00000001</formula1>
    </dataValidation>
    <dataValidation allowBlank="1" showInputMessage="1" showErrorMessage="1" prompt="Deaf or Hard of Hearing Add-on Amount" sqref="B19"/>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$H$3:$H$12</formula1>
    </dataValidation>
    <dataValidation allowBlank="1" showInputMessage="1" showErrorMessage="1" prompt="Shared On-site Primary Staff/Awake Wage" sqref="C4"/>
  </dataValidations>
  <pageMargins left="0.75" right="0.75" top="1.37" bottom="1" header="0.5" footer="0.5"/>
  <pageSetup scale="79"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election activeCell="C9" sqref="C9"/>
    </sheetView>
  </sheetViews>
  <sheetFormatPr defaultColWidth="9.1796875" defaultRowHeight="12.5" x14ac:dyDescent="0.25"/>
  <cols>
    <col min="1" max="1" width="3.7265625" style="1" customWidth="1"/>
    <col min="2" max="2" width="62.7265625" style="1" customWidth="1"/>
    <col min="3" max="3" width="13.1796875" style="1" customWidth="1"/>
    <col min="4" max="7" width="9.1796875" style="2"/>
    <col min="8" max="16384" width="9.1796875" style="1"/>
  </cols>
  <sheetData>
    <row r="1" spans="1:13" ht="15.5" x14ac:dyDescent="0.35">
      <c r="A1" s="85" t="s">
        <v>38</v>
      </c>
      <c r="B1" s="85"/>
      <c r="C1" s="85"/>
      <c r="D1" s="26"/>
      <c r="E1" s="26"/>
    </row>
    <row r="2" spans="1:13" x14ac:dyDescent="0.25">
      <c r="A2" s="26"/>
      <c r="B2" s="26"/>
      <c r="C2" s="26"/>
      <c r="D2" s="26"/>
      <c r="E2" s="26"/>
    </row>
    <row r="3" spans="1:13" ht="13" x14ac:dyDescent="0.3">
      <c r="A3" s="5" t="s">
        <v>39</v>
      </c>
      <c r="D3" s="26"/>
      <c r="E3" s="26"/>
    </row>
    <row r="4" spans="1:13" ht="12.75" customHeight="1" x14ac:dyDescent="0.25">
      <c r="A4" s="163" t="s">
        <v>40</v>
      </c>
      <c r="B4" s="164"/>
      <c r="C4" s="165"/>
      <c r="D4" s="26"/>
      <c r="E4" s="26"/>
    </row>
    <row r="5" spans="1:13" ht="27.75" customHeight="1" x14ac:dyDescent="0.25">
      <c r="A5" s="168" t="s">
        <v>98</v>
      </c>
      <c r="B5" s="169"/>
      <c r="C5" s="170"/>
      <c r="D5" s="26"/>
      <c r="E5" s="26"/>
    </row>
    <row r="6" spans="1:13" x14ac:dyDescent="0.25">
      <c r="A6" s="17"/>
      <c r="B6" s="18" t="s">
        <v>32</v>
      </c>
      <c r="C6" s="19"/>
      <c r="D6" s="26"/>
      <c r="E6" s="26"/>
    </row>
    <row r="7" spans="1:13" x14ac:dyDescent="0.25">
      <c r="A7" s="17"/>
      <c r="B7" s="18" t="s">
        <v>33</v>
      </c>
      <c r="C7" s="14"/>
      <c r="D7" s="26"/>
      <c r="E7" s="26"/>
    </row>
    <row r="8" spans="1:13" x14ac:dyDescent="0.25">
      <c r="A8" s="17"/>
      <c r="B8" s="18" t="s">
        <v>37</v>
      </c>
      <c r="C8" s="14"/>
      <c r="D8" s="26"/>
      <c r="E8" s="26"/>
    </row>
    <row r="9" spans="1:13" ht="13" x14ac:dyDescent="0.3">
      <c r="A9" s="166" t="s">
        <v>62</v>
      </c>
      <c r="B9" s="167"/>
      <c r="C9" s="36">
        <v>5.6000000000000001E-2</v>
      </c>
      <c r="D9" s="26"/>
      <c r="E9" s="26"/>
    </row>
    <row r="10" spans="1:13" s="2" customFormat="1" x14ac:dyDescent="0.25">
      <c r="A10" s="26"/>
      <c r="B10" s="26"/>
      <c r="C10" s="26"/>
      <c r="D10" s="26"/>
      <c r="E10" s="26"/>
    </row>
    <row r="11" spans="1:13" s="2" customFormat="1" x14ac:dyDescent="0.25">
      <c r="A11" s="26"/>
      <c r="B11" s="26"/>
      <c r="C11" s="26"/>
      <c r="D11" s="26"/>
      <c r="E11" s="26"/>
    </row>
    <row r="12" spans="1:13" s="2" customFormat="1" x14ac:dyDescent="0.25">
      <c r="B12" s="2" t="s">
        <v>47</v>
      </c>
    </row>
    <row r="13" spans="1:13" s="2" customFormat="1" x14ac:dyDescent="0.25">
      <c r="H13" s="2" t="s">
        <v>44</v>
      </c>
    </row>
    <row r="14" spans="1:13" x14ac:dyDescent="0.25">
      <c r="A14" s="2"/>
      <c r="B14" s="2"/>
      <c r="C14" s="2"/>
      <c r="M14" s="1" t="s">
        <v>45</v>
      </c>
    </row>
  </sheetData>
  <sheetProtection password="C10A" sheet="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topLeftCell="A2" zoomScale="125" workbookViewId="0">
      <selection activeCell="C19" sqref="C19"/>
    </sheetView>
  </sheetViews>
  <sheetFormatPr defaultColWidth="9.1796875" defaultRowHeight="12.5" x14ac:dyDescent="0.25"/>
  <cols>
    <col min="1" max="1" width="3" style="1" customWidth="1"/>
    <col min="2" max="2" width="40.1796875" style="1" bestFit="1" customWidth="1"/>
    <col min="3" max="3" width="24.54296875" style="1" customWidth="1"/>
    <col min="4" max="16384" width="9.1796875" style="1"/>
  </cols>
  <sheetData>
    <row r="1" spans="1:5" ht="15.5" x14ac:dyDescent="0.35">
      <c r="A1" s="85" t="s">
        <v>30</v>
      </c>
      <c r="B1" s="85"/>
      <c r="C1" s="85"/>
      <c r="D1" s="26"/>
      <c r="E1" s="26"/>
    </row>
    <row r="2" spans="1:5" x14ac:dyDescent="0.25">
      <c r="A2" s="26"/>
      <c r="B2" s="26"/>
      <c r="C2" s="26"/>
      <c r="D2" s="26"/>
      <c r="E2" s="26"/>
    </row>
    <row r="3" spans="1:5" ht="13" x14ac:dyDescent="0.3">
      <c r="A3" s="5" t="s">
        <v>21</v>
      </c>
      <c r="D3" s="26"/>
      <c r="E3" s="26"/>
    </row>
    <row r="4" spans="1:5" x14ac:dyDescent="0.25">
      <c r="A4" s="176" t="s">
        <v>42</v>
      </c>
      <c r="B4" s="177"/>
      <c r="C4" s="20" t="s">
        <v>20</v>
      </c>
      <c r="D4" s="26"/>
      <c r="E4" s="26"/>
    </row>
    <row r="5" spans="1:5" x14ac:dyDescent="0.25">
      <c r="A5" s="171" t="s">
        <v>27</v>
      </c>
      <c r="B5" s="172"/>
      <c r="C5" s="173">
        <v>0.11559999999999999</v>
      </c>
      <c r="D5" s="26"/>
      <c r="E5" s="26"/>
    </row>
    <row r="6" spans="1:5" x14ac:dyDescent="0.25">
      <c r="A6" s="10"/>
      <c r="B6" s="178" t="s">
        <v>28</v>
      </c>
      <c r="C6" s="174"/>
      <c r="D6" s="26"/>
      <c r="E6" s="26"/>
    </row>
    <row r="7" spans="1:5" x14ac:dyDescent="0.25">
      <c r="A7" s="11"/>
      <c r="B7" s="179"/>
      <c r="C7" s="175"/>
      <c r="D7" s="26"/>
      <c r="E7" s="26"/>
    </row>
    <row r="8" spans="1:5" x14ac:dyDescent="0.25">
      <c r="A8" s="171" t="s">
        <v>26</v>
      </c>
      <c r="B8" s="172"/>
      <c r="C8" s="173">
        <v>0.12039999999999999</v>
      </c>
      <c r="D8" s="26"/>
      <c r="E8" s="26"/>
    </row>
    <row r="9" spans="1:5" x14ac:dyDescent="0.25">
      <c r="A9" s="10"/>
      <c r="B9" s="2" t="s">
        <v>2</v>
      </c>
      <c r="C9" s="174"/>
      <c r="D9" s="26"/>
      <c r="E9" s="26"/>
    </row>
    <row r="10" spans="1:5" x14ac:dyDescent="0.25">
      <c r="A10" s="10"/>
      <c r="B10" s="2" t="s">
        <v>68</v>
      </c>
      <c r="C10" s="174"/>
      <c r="D10" s="26"/>
      <c r="E10" s="26"/>
    </row>
    <row r="11" spans="1:5" x14ac:dyDescent="0.25">
      <c r="A11" s="10"/>
      <c r="B11" s="2" t="s">
        <v>3</v>
      </c>
      <c r="C11" s="174"/>
      <c r="D11" s="26"/>
      <c r="E11" s="26"/>
    </row>
    <row r="12" spans="1:5" x14ac:dyDescent="0.25">
      <c r="A12" s="10"/>
      <c r="B12" s="2" t="s">
        <v>4</v>
      </c>
      <c r="C12" s="174"/>
      <c r="D12" s="26"/>
      <c r="E12" s="26"/>
    </row>
    <row r="13" spans="1:5" x14ac:dyDescent="0.25">
      <c r="A13" s="10"/>
      <c r="B13" s="2" t="s">
        <v>6</v>
      </c>
      <c r="C13" s="174"/>
      <c r="D13" s="26"/>
      <c r="E13" s="26"/>
    </row>
    <row r="14" spans="1:5" x14ac:dyDescent="0.25">
      <c r="A14" s="10"/>
      <c r="B14" s="2" t="s">
        <v>5</v>
      </c>
      <c r="C14" s="174"/>
      <c r="D14" s="26"/>
      <c r="E14" s="26"/>
    </row>
    <row r="15" spans="1:5" x14ac:dyDescent="0.25">
      <c r="A15" s="10"/>
      <c r="B15" s="2" t="s">
        <v>7</v>
      </c>
      <c r="C15" s="174"/>
      <c r="D15" s="26"/>
      <c r="E15" s="26"/>
    </row>
    <row r="16" spans="1:5" x14ac:dyDescent="0.25">
      <c r="A16" s="10"/>
      <c r="B16" s="2" t="s">
        <v>8</v>
      </c>
      <c r="C16" s="174"/>
      <c r="D16" s="26"/>
      <c r="E16" s="26"/>
    </row>
    <row r="17" spans="1:5" x14ac:dyDescent="0.25">
      <c r="A17" s="10"/>
      <c r="B17" s="2" t="s">
        <v>25</v>
      </c>
      <c r="C17" s="174"/>
      <c r="D17" s="26"/>
      <c r="E17" s="26"/>
    </row>
    <row r="18" spans="1:5" ht="11.25" customHeight="1" x14ac:dyDescent="0.25">
      <c r="A18" s="11"/>
      <c r="B18" s="12"/>
      <c r="C18" s="175"/>
      <c r="D18" s="26"/>
      <c r="E18" s="26"/>
    </row>
    <row r="19" spans="1:5" ht="13" x14ac:dyDescent="0.3">
      <c r="A19" s="166" t="s">
        <v>80</v>
      </c>
      <c r="B19" s="167"/>
      <c r="C19" s="37">
        <f>SUM(C5:C18)</f>
        <v>0.23599999999999999</v>
      </c>
      <c r="D19" s="26"/>
      <c r="E19" s="26"/>
    </row>
    <row r="20" spans="1:5" x14ac:dyDescent="0.25">
      <c r="A20" s="26"/>
      <c r="B20" s="26"/>
      <c r="C20" s="26"/>
      <c r="D20" s="26"/>
      <c r="E20" s="26"/>
    </row>
    <row r="21" spans="1:5" x14ac:dyDescent="0.25">
      <c r="A21" s="1" t="s">
        <v>41</v>
      </c>
      <c r="C21" s="26"/>
      <c r="D21" s="26"/>
      <c r="E21" s="26"/>
    </row>
    <row r="22" spans="1:5" x14ac:dyDescent="0.25">
      <c r="A22" s="26"/>
      <c r="B22" s="26"/>
      <c r="C22" s="26"/>
      <c r="D22" s="26"/>
      <c r="E22" s="26"/>
    </row>
    <row r="23" spans="1:5" x14ac:dyDescent="0.25">
      <c r="A23" s="26"/>
      <c r="B23" s="26"/>
      <c r="C23" s="26"/>
      <c r="D23" s="26"/>
      <c r="E23" s="26"/>
    </row>
  </sheetData>
  <sheetProtection password="C04A" sheet="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election activeCell="C9" sqref="C9"/>
    </sheetView>
  </sheetViews>
  <sheetFormatPr defaultColWidth="9.1796875" defaultRowHeight="12.5" x14ac:dyDescent="0.25"/>
  <cols>
    <col min="1" max="1" width="40.81640625" style="1" customWidth="1"/>
    <col min="2" max="2" width="20.453125" style="1" customWidth="1"/>
    <col min="3" max="3" width="18.1796875" style="1" customWidth="1"/>
    <col min="4" max="16384" width="9.1796875" style="1"/>
  </cols>
  <sheetData>
    <row r="1" spans="1:5" ht="15.5" x14ac:dyDescent="0.35">
      <c r="A1" s="85" t="s">
        <v>34</v>
      </c>
      <c r="B1" s="85"/>
      <c r="C1" s="26"/>
      <c r="D1" s="26"/>
      <c r="E1" s="26"/>
    </row>
    <row r="2" spans="1:5" x14ac:dyDescent="0.25">
      <c r="A2" s="26"/>
      <c r="B2" s="26"/>
      <c r="C2" s="26"/>
      <c r="D2" s="26"/>
      <c r="E2" s="26"/>
    </row>
    <row r="3" spans="1:5" ht="13" x14ac:dyDescent="0.3">
      <c r="A3" s="5" t="s">
        <v>43</v>
      </c>
      <c r="C3" s="26"/>
      <c r="D3" s="26"/>
      <c r="E3" s="26"/>
    </row>
    <row r="4" spans="1:5" x14ac:dyDescent="0.25">
      <c r="A4" s="176" t="s">
        <v>19</v>
      </c>
      <c r="B4" s="177"/>
      <c r="C4" s="20" t="s">
        <v>36</v>
      </c>
      <c r="D4" s="26"/>
      <c r="E4" s="26"/>
    </row>
    <row r="5" spans="1:5" ht="126.75" customHeight="1" x14ac:dyDescent="0.25">
      <c r="A5" s="182" t="s">
        <v>71</v>
      </c>
      <c r="B5" s="181"/>
      <c r="C5" s="149">
        <v>7.7799999999999994E-2</v>
      </c>
      <c r="D5" s="26"/>
      <c r="E5" s="26"/>
    </row>
    <row r="6" spans="1:5" x14ac:dyDescent="0.25">
      <c r="A6" s="26"/>
      <c r="B6" s="26"/>
      <c r="C6" s="26"/>
      <c r="D6" s="26"/>
      <c r="E6" s="26"/>
    </row>
    <row r="7" spans="1:5" ht="13" x14ac:dyDescent="0.3">
      <c r="A7" s="5" t="s">
        <v>70</v>
      </c>
      <c r="C7" s="26"/>
      <c r="D7" s="26"/>
      <c r="E7" s="26"/>
    </row>
    <row r="8" spans="1:5" x14ac:dyDescent="0.25">
      <c r="A8" s="176" t="s">
        <v>50</v>
      </c>
      <c r="B8" s="177"/>
      <c r="C8" s="20" t="s">
        <v>49</v>
      </c>
      <c r="D8" s="26"/>
      <c r="E8" s="26"/>
    </row>
    <row r="9" spans="1:5" x14ac:dyDescent="0.25">
      <c r="A9" s="180" t="s">
        <v>51</v>
      </c>
      <c r="B9" s="181"/>
      <c r="C9" s="149">
        <f>C5</f>
        <v>7.7799999999999994E-2</v>
      </c>
      <c r="D9" s="26"/>
      <c r="E9" s="26"/>
    </row>
    <row r="10" spans="1:5" x14ac:dyDescent="0.25">
      <c r="A10" s="26"/>
      <c r="B10" s="26"/>
      <c r="C10" s="26"/>
      <c r="D10" s="26"/>
      <c r="E10" s="26"/>
    </row>
    <row r="11" spans="1:5" x14ac:dyDescent="0.25">
      <c r="A11" s="26"/>
      <c r="B11" s="26"/>
      <c r="C11" s="26"/>
      <c r="D11" s="26"/>
      <c r="E11" s="26"/>
    </row>
  </sheetData>
  <sheetProtection algorithmName="SHA-512" hashValue="75wEGS1Ehoq2+j/BDj19b8tW7nNWAQWPiS4oHwnbxUXe3QC32eZApbo+fJ2Nsi5quyrjS1XnE6FU2yDKgzy8PA==" saltValue="wwxnjwwYfR7001LQMfoQ9Q=="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B5" sqref="B5"/>
    </sheetView>
  </sheetViews>
  <sheetFormatPr defaultColWidth="9.1796875" defaultRowHeight="12.5" x14ac:dyDescent="0.25"/>
  <cols>
    <col min="1" max="1" width="10.7265625" style="1" customWidth="1"/>
    <col min="2" max="2" width="15.54296875" style="1" customWidth="1"/>
    <col min="3" max="3" width="15.7265625" style="1" customWidth="1"/>
    <col min="4" max="16384" width="9.1796875" style="1"/>
  </cols>
  <sheetData>
    <row r="1" spans="1:6" ht="15.5" x14ac:dyDescent="0.35">
      <c r="A1" s="85" t="s">
        <v>46</v>
      </c>
      <c r="B1" s="85"/>
      <c r="C1" s="85"/>
      <c r="D1" s="26"/>
      <c r="E1" s="26"/>
      <c r="F1" s="26"/>
    </row>
    <row r="2" spans="1:6" x14ac:dyDescent="0.25">
      <c r="A2" s="26"/>
      <c r="B2" s="26"/>
      <c r="C2" s="26"/>
      <c r="D2" s="26"/>
      <c r="E2" s="26"/>
      <c r="F2" s="26"/>
    </row>
    <row r="3" spans="1:6" ht="13.5" thickBot="1" x14ac:dyDescent="0.35">
      <c r="A3" s="5" t="s">
        <v>52</v>
      </c>
      <c r="E3" s="26"/>
      <c r="F3" s="26"/>
    </row>
    <row r="4" spans="1:6" ht="25" x14ac:dyDescent="0.25">
      <c r="A4" s="24" t="s">
        <v>53</v>
      </c>
      <c r="B4" s="52" t="s">
        <v>92</v>
      </c>
      <c r="C4" s="52" t="s">
        <v>93</v>
      </c>
      <c r="D4" s="26"/>
      <c r="E4" s="26"/>
      <c r="F4" s="26"/>
    </row>
    <row r="5" spans="1:6" x14ac:dyDescent="0.25">
      <c r="A5" s="25" t="str">
        <f>'Direct Staffing'!B10</f>
        <v>1:10</v>
      </c>
      <c r="B5" s="150">
        <f>ROUND(21.04/120,3)</f>
        <v>0.17499999999999999</v>
      </c>
      <c r="C5" s="115">
        <f>ROUND(((1+1/(VLOOKUP(A5,'Direct Staffing'!H3:K12,2,FALSE)))*B5),3)</f>
        <v>0.20799999999999999</v>
      </c>
      <c r="D5" s="26"/>
      <c r="E5" s="26"/>
      <c r="F5" s="26"/>
    </row>
    <row r="6" spans="1:6" x14ac:dyDescent="0.25">
      <c r="A6" s="26"/>
      <c r="B6" s="26"/>
      <c r="C6" s="26"/>
      <c r="D6" s="26"/>
      <c r="E6" s="26"/>
      <c r="F6" s="26"/>
    </row>
    <row r="7" spans="1:6" x14ac:dyDescent="0.25">
      <c r="A7" s="26"/>
      <c r="B7" s="26"/>
      <c r="C7" s="26"/>
      <c r="D7" s="26"/>
      <c r="E7" s="26"/>
      <c r="F7" s="26"/>
    </row>
  </sheetData>
  <sheetProtection algorithmName="SHA-512" hashValue="P2xG5VX3Vsj/XlAWaAqvyjYQ4+qQI1RIRE2Cxntlu7tv+jZYSZMMNa/LnigebhCY9mtwaiR3WIusycssiyewRQ==" saltValue="vAsqLah4OHE5evl5loh9Rw==" spinCount="100000" sheet="1" objects="1" scenarios="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Unit formula is $21.04 divided by 120" sqref="B5"/>
    <dataValidation allowBlank="1" showInputMessage="1" showErrorMessage="1" prompt="Quarter Hourly Facility Cost formula is equal to Ratio Factor times Rate per Person per Unit"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election activeCell="E8" sqref="E8"/>
    </sheetView>
  </sheetViews>
  <sheetFormatPr defaultColWidth="9.1796875" defaultRowHeight="12.5" x14ac:dyDescent="0.25"/>
  <cols>
    <col min="1" max="1" width="9.1796875" style="1"/>
    <col min="2" max="2" width="24.7265625" style="1" customWidth="1"/>
    <col min="3" max="3" width="10.1796875" style="1" bestFit="1" customWidth="1"/>
    <col min="4" max="4" width="9.1796875" style="1"/>
    <col min="5" max="6" width="11.26953125" style="1" customWidth="1"/>
    <col min="7" max="16384" width="9.1796875" style="1"/>
  </cols>
  <sheetData>
    <row r="1" spans="1:7" ht="15.5" x14ac:dyDescent="0.35">
      <c r="A1" s="85" t="s">
        <v>72</v>
      </c>
      <c r="B1" s="85"/>
      <c r="C1" s="85"/>
      <c r="D1" s="26"/>
      <c r="E1" s="26"/>
      <c r="F1" s="26"/>
      <c r="G1" s="26"/>
    </row>
    <row r="2" spans="1:7" x14ac:dyDescent="0.25">
      <c r="A2" s="26"/>
      <c r="B2" s="26"/>
      <c r="C2" s="26"/>
      <c r="D2" s="26"/>
      <c r="E2" s="26"/>
      <c r="F2" s="26"/>
      <c r="G2" s="26"/>
    </row>
    <row r="3" spans="1:7" ht="13" x14ac:dyDescent="0.3">
      <c r="A3" s="86" t="s">
        <v>73</v>
      </c>
      <c r="B3" s="86"/>
      <c r="C3" s="86"/>
      <c r="D3" s="86"/>
      <c r="E3" s="86"/>
      <c r="F3" s="86"/>
      <c r="G3" s="26"/>
    </row>
    <row r="4" spans="1:7" ht="13" x14ac:dyDescent="0.3">
      <c r="A4" s="187" t="s">
        <v>10</v>
      </c>
      <c r="B4" s="187"/>
      <c r="C4" s="187"/>
      <c r="D4" s="187"/>
      <c r="E4" s="21" t="s">
        <v>22</v>
      </c>
      <c r="F4" s="26"/>
      <c r="G4" s="26"/>
    </row>
    <row r="5" spans="1:7" ht="12" customHeight="1" x14ac:dyDescent="0.25">
      <c r="A5" s="188" t="s">
        <v>66</v>
      </c>
      <c r="B5" s="188"/>
      <c r="C5" s="188"/>
      <c r="D5" s="188"/>
      <c r="E5" s="38">
        <v>0.13250000000000001</v>
      </c>
      <c r="F5" s="26"/>
      <c r="G5" s="26"/>
    </row>
    <row r="6" spans="1:7" x14ac:dyDescent="0.25">
      <c r="A6" s="188" t="s">
        <v>67</v>
      </c>
      <c r="B6" s="188"/>
      <c r="C6" s="188"/>
      <c r="D6" s="188"/>
      <c r="E6" s="38">
        <v>1.7999999999999999E-2</v>
      </c>
      <c r="F6" s="26"/>
      <c r="G6" s="26"/>
    </row>
    <row r="7" spans="1:7" x14ac:dyDescent="0.25">
      <c r="A7" s="183" t="s">
        <v>74</v>
      </c>
      <c r="B7" s="184"/>
      <c r="C7" s="184"/>
      <c r="D7" s="185"/>
      <c r="E7" s="38">
        <v>9.4E-2</v>
      </c>
      <c r="F7" s="26"/>
      <c r="G7" s="26"/>
    </row>
    <row r="8" spans="1:7" ht="13" x14ac:dyDescent="0.3">
      <c r="A8" s="186" t="s">
        <v>75</v>
      </c>
      <c r="B8" s="186"/>
      <c r="C8" s="186"/>
      <c r="D8" s="186"/>
      <c r="E8" s="37">
        <f>SUM(E5:E7)</f>
        <v>0.2445</v>
      </c>
      <c r="F8" s="26"/>
      <c r="G8" s="26"/>
    </row>
    <row r="9" spans="1:7" x14ac:dyDescent="0.25">
      <c r="A9" s="26"/>
      <c r="B9" s="26"/>
      <c r="C9" s="26"/>
      <c r="D9" s="26"/>
      <c r="E9" s="26"/>
      <c r="F9" s="26"/>
      <c r="G9" s="26"/>
    </row>
    <row r="10" spans="1:7" x14ac:dyDescent="0.25">
      <c r="C10" s="26"/>
      <c r="D10" s="26"/>
      <c r="E10" s="26"/>
      <c r="F10" s="26"/>
      <c r="G10" s="26"/>
    </row>
    <row r="11" spans="1:7" x14ac:dyDescent="0.25">
      <c r="A11" s="26"/>
      <c r="B11" s="26"/>
      <c r="C11" s="26"/>
      <c r="D11" s="26"/>
      <c r="E11" s="26"/>
      <c r="F11" s="26"/>
      <c r="G11" s="26"/>
    </row>
    <row r="12" spans="1:7" x14ac:dyDescent="0.25">
      <c r="A12" s="26"/>
      <c r="B12" s="26"/>
      <c r="C12" s="26"/>
      <c r="D12" s="26"/>
      <c r="E12" s="26"/>
      <c r="F12" s="26"/>
      <c r="G12" s="26"/>
    </row>
  </sheetData>
  <sheetProtection password="C10A" sheet="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9"/>
  <sheetViews>
    <sheetView workbookViewId="0">
      <selection activeCell="J114" sqref="J114"/>
    </sheetView>
  </sheetViews>
  <sheetFormatPr defaultRowHeight="12.5" x14ac:dyDescent="0.25"/>
  <cols>
    <col min="1" max="1" width="29" customWidth="1"/>
    <col min="2" max="2" width="17.453125" customWidth="1"/>
    <col min="3" max="3" width="20" customWidth="1"/>
    <col min="4" max="5" width="9.1796875" customWidth="1"/>
    <col min="6" max="6" width="5.54296875" style="92" bestFit="1" customWidth="1"/>
  </cols>
  <sheetData>
    <row r="3" spans="1:6" ht="13" x14ac:dyDescent="0.3">
      <c r="A3" s="5" t="s">
        <v>217</v>
      </c>
      <c r="B3" s="57"/>
      <c r="C3" s="57"/>
      <c r="D3" s="57"/>
    </row>
    <row r="4" spans="1:6" x14ac:dyDescent="0.25">
      <c r="A4" s="44" t="s">
        <v>218</v>
      </c>
      <c r="B4" s="189" t="s">
        <v>223</v>
      </c>
      <c r="C4" s="190"/>
      <c r="D4" s="191"/>
    </row>
    <row r="5" spans="1:6" x14ac:dyDescent="0.25">
      <c r="A5" s="44" t="s">
        <v>114</v>
      </c>
      <c r="B5" s="192" t="str">
        <f>INDEX($C$10:$C$108,MATCH(B4:D4,B10:B108,0))</f>
        <v>Unspecified Region</v>
      </c>
      <c r="C5" s="193"/>
      <c r="D5" s="194"/>
    </row>
    <row r="7" spans="1:6" hidden="1" x14ac:dyDescent="0.25">
      <c r="A7" t="s">
        <v>204</v>
      </c>
      <c r="B7" t="str">
        <f>INDEX($D$10:$D$108,MATCH(B4:D4,B10:B108,0))</f>
        <v>-</v>
      </c>
    </row>
    <row r="8" spans="1:6" hidden="1" x14ac:dyDescent="0.25"/>
    <row r="9" spans="1:6" ht="14.5" hidden="1" x14ac:dyDescent="0.25">
      <c r="B9" s="89" t="s">
        <v>115</v>
      </c>
      <c r="C9" s="89" t="s">
        <v>116</v>
      </c>
      <c r="D9" s="93" t="s">
        <v>204</v>
      </c>
      <c r="F9"/>
    </row>
    <row r="10" spans="1:6" ht="14.5" hidden="1" x14ac:dyDescent="0.25">
      <c r="B10" s="94" t="s">
        <v>223</v>
      </c>
      <c r="C10" s="94" t="s">
        <v>219</v>
      </c>
      <c r="D10" s="95" t="s">
        <v>221</v>
      </c>
      <c r="F10"/>
    </row>
    <row r="11" spans="1:6" ht="14.5" hidden="1" x14ac:dyDescent="0.25">
      <c r="B11" s="90" t="s">
        <v>117</v>
      </c>
      <c r="C11" s="90" t="s">
        <v>205</v>
      </c>
      <c r="D11" s="100">
        <v>0.97299999999999998</v>
      </c>
      <c r="F11"/>
    </row>
    <row r="12" spans="1:6" ht="14.5" hidden="1" x14ac:dyDescent="0.25">
      <c r="B12" s="90" t="s">
        <v>118</v>
      </c>
      <c r="C12" s="90" t="s">
        <v>206</v>
      </c>
      <c r="D12" s="100">
        <v>1.0129999999999999</v>
      </c>
      <c r="F12"/>
    </row>
    <row r="13" spans="1:6" ht="14.5" hidden="1" x14ac:dyDescent="0.25">
      <c r="B13" s="90" t="s">
        <v>119</v>
      </c>
      <c r="C13" s="90" t="s">
        <v>207</v>
      </c>
      <c r="D13" s="100">
        <v>1.0069999999999999</v>
      </c>
      <c r="F13"/>
    </row>
    <row r="14" spans="1:6" ht="14.5" hidden="1" x14ac:dyDescent="0.25">
      <c r="B14" s="90" t="s">
        <v>120</v>
      </c>
      <c r="C14" s="90" t="s">
        <v>207</v>
      </c>
      <c r="D14" s="100">
        <v>1.0069999999999999</v>
      </c>
      <c r="F14"/>
    </row>
    <row r="15" spans="1:6" ht="14.5" hidden="1" x14ac:dyDescent="0.25">
      <c r="B15" s="90" t="s">
        <v>121</v>
      </c>
      <c r="C15" s="90" t="s">
        <v>208</v>
      </c>
      <c r="D15" s="100">
        <v>0.94599999999999995</v>
      </c>
      <c r="F15"/>
    </row>
    <row r="16" spans="1:6" ht="14.5" hidden="1" x14ac:dyDescent="0.25">
      <c r="B16" s="90" t="s">
        <v>122</v>
      </c>
      <c r="C16" s="91" t="s">
        <v>209</v>
      </c>
      <c r="D16" s="100">
        <v>0.97899999999999998</v>
      </c>
      <c r="F16"/>
    </row>
    <row r="17" spans="2:6" ht="14.5" hidden="1" x14ac:dyDescent="0.25">
      <c r="B17" s="90" t="s">
        <v>123</v>
      </c>
      <c r="C17" s="90" t="s">
        <v>210</v>
      </c>
      <c r="D17" s="100">
        <v>1.0429999999999999</v>
      </c>
      <c r="F17"/>
    </row>
    <row r="18" spans="2:6" ht="14.5" hidden="1" x14ac:dyDescent="0.25">
      <c r="B18" s="90" t="s">
        <v>124</v>
      </c>
      <c r="C18" s="91" t="s">
        <v>211</v>
      </c>
      <c r="D18" s="100">
        <v>0.95</v>
      </c>
      <c r="F18"/>
    </row>
    <row r="19" spans="2:6" ht="14.5" hidden="1" x14ac:dyDescent="0.25">
      <c r="B19" s="90" t="s">
        <v>125</v>
      </c>
      <c r="C19" s="91" t="s">
        <v>212</v>
      </c>
      <c r="D19" s="100">
        <v>0.95</v>
      </c>
      <c r="F19"/>
    </row>
    <row r="20" spans="2:6" ht="14.5" hidden="1" x14ac:dyDescent="0.25">
      <c r="B20" s="90" t="s">
        <v>126</v>
      </c>
      <c r="C20" s="90" t="s">
        <v>206</v>
      </c>
      <c r="D20" s="100">
        <v>1.0129999999999999</v>
      </c>
      <c r="F20"/>
    </row>
    <row r="21" spans="2:6" ht="14.5" hidden="1" x14ac:dyDescent="0.25">
      <c r="B21" s="90" t="s">
        <v>127</v>
      </c>
      <c r="C21" s="90" t="s">
        <v>207</v>
      </c>
      <c r="D21" s="100">
        <v>1.0069999999999999</v>
      </c>
      <c r="F21"/>
    </row>
    <row r="22" spans="2:6" ht="14.5" hidden="1" x14ac:dyDescent="0.25">
      <c r="B22" s="90" t="s">
        <v>128</v>
      </c>
      <c r="C22" s="91" t="s">
        <v>209</v>
      </c>
      <c r="D22" s="100">
        <v>0.97899999999999998</v>
      </c>
      <c r="F22"/>
    </row>
    <row r="23" spans="2:6" ht="14.5" hidden="1" x14ac:dyDescent="0.25">
      <c r="B23" s="90" t="s">
        <v>129</v>
      </c>
      <c r="C23" s="91" t="s">
        <v>206</v>
      </c>
      <c r="D23" s="100">
        <v>1.0129999999999999</v>
      </c>
      <c r="F23"/>
    </row>
    <row r="24" spans="2:6" ht="14.5" hidden="1" x14ac:dyDescent="0.25">
      <c r="B24" s="90" t="s">
        <v>130</v>
      </c>
      <c r="C24" s="91" t="s">
        <v>213</v>
      </c>
      <c r="D24" s="100">
        <v>0.99099999999999999</v>
      </c>
      <c r="F24"/>
    </row>
    <row r="25" spans="2:6" ht="14.5" hidden="1" x14ac:dyDescent="0.25">
      <c r="B25" s="90" t="s">
        <v>131</v>
      </c>
      <c r="C25" s="90" t="s">
        <v>207</v>
      </c>
      <c r="D25" s="100">
        <v>1.0069999999999999</v>
      </c>
      <c r="F25"/>
    </row>
    <row r="26" spans="2:6" ht="14.5" hidden="1" x14ac:dyDescent="0.25">
      <c r="B26" s="90" t="s">
        <v>132</v>
      </c>
      <c r="C26" s="91" t="s">
        <v>205</v>
      </c>
      <c r="D26" s="100">
        <v>0.97299999999999998</v>
      </c>
      <c r="F26"/>
    </row>
    <row r="27" spans="2:6" ht="14.5" hidden="1" x14ac:dyDescent="0.25">
      <c r="B27" s="90" t="s">
        <v>133</v>
      </c>
      <c r="C27" s="91" t="s">
        <v>209</v>
      </c>
      <c r="D27" s="100">
        <v>0.97899999999999998</v>
      </c>
      <c r="F27"/>
    </row>
    <row r="28" spans="2:6" ht="14.5" hidden="1" x14ac:dyDescent="0.25">
      <c r="B28" s="90" t="s">
        <v>134</v>
      </c>
      <c r="C28" s="90" t="s">
        <v>207</v>
      </c>
      <c r="D28" s="100">
        <v>1.0069999999999999</v>
      </c>
      <c r="F28"/>
    </row>
    <row r="29" spans="2:6" ht="14.5" hidden="1" x14ac:dyDescent="0.25">
      <c r="B29" s="90" t="s">
        <v>135</v>
      </c>
      <c r="C29" s="90" t="s">
        <v>206</v>
      </c>
      <c r="D29" s="100">
        <v>1.0129999999999999</v>
      </c>
      <c r="F29"/>
    </row>
    <row r="30" spans="2:6" ht="14.5" hidden="1" x14ac:dyDescent="0.25">
      <c r="B30" s="90" t="s">
        <v>136</v>
      </c>
      <c r="C30" s="91" t="s">
        <v>214</v>
      </c>
      <c r="D30" s="100">
        <v>1.0469999999999999</v>
      </c>
      <c r="F30"/>
    </row>
    <row r="31" spans="2:6" ht="14.5" hidden="1" x14ac:dyDescent="0.25">
      <c r="B31" s="90" t="s">
        <v>137</v>
      </c>
      <c r="C31" s="90" t="s">
        <v>207</v>
      </c>
      <c r="D31" s="100">
        <v>1.0069999999999999</v>
      </c>
      <c r="F31"/>
    </row>
    <row r="32" spans="2:6" ht="14.5" hidden="1" x14ac:dyDescent="0.25">
      <c r="B32" s="90" t="s">
        <v>138</v>
      </c>
      <c r="C32" s="91" t="s">
        <v>211</v>
      </c>
      <c r="D32" s="100">
        <v>0.95</v>
      </c>
      <c r="F32"/>
    </row>
    <row r="33" spans="2:6" ht="14.5" hidden="1" x14ac:dyDescent="0.25">
      <c r="B33" s="90" t="s">
        <v>139</v>
      </c>
      <c r="C33" s="91" t="s">
        <v>214</v>
      </c>
      <c r="D33" s="100">
        <v>1.0469999999999999</v>
      </c>
      <c r="F33"/>
    </row>
    <row r="34" spans="2:6" ht="14.5" hidden="1" x14ac:dyDescent="0.25">
      <c r="B34" s="90" t="s">
        <v>140</v>
      </c>
      <c r="C34" s="91" t="s">
        <v>211</v>
      </c>
      <c r="D34" s="100">
        <v>0.95</v>
      </c>
      <c r="F34"/>
    </row>
    <row r="35" spans="2:6" ht="14.5" hidden="1" x14ac:dyDescent="0.25">
      <c r="B35" s="90" t="s">
        <v>141</v>
      </c>
      <c r="C35" s="91" t="s">
        <v>211</v>
      </c>
      <c r="D35" s="100">
        <v>0.95</v>
      </c>
      <c r="F35"/>
    </row>
    <row r="36" spans="2:6" ht="14.5" hidden="1" x14ac:dyDescent="0.25">
      <c r="B36" s="90" t="s">
        <v>142</v>
      </c>
      <c r="C36" s="90" t="s">
        <v>207</v>
      </c>
      <c r="D36" s="100">
        <v>1.0069999999999999</v>
      </c>
      <c r="F36"/>
    </row>
    <row r="37" spans="2:6" ht="14.5" hidden="1" x14ac:dyDescent="0.25">
      <c r="B37" s="90" t="s">
        <v>143</v>
      </c>
      <c r="C37" s="90" t="s">
        <v>206</v>
      </c>
      <c r="D37" s="100">
        <v>1.0129999999999999</v>
      </c>
      <c r="F37"/>
    </row>
    <row r="38" spans="2:6" ht="14.5" hidden="1" x14ac:dyDescent="0.25">
      <c r="B38" s="90" t="s">
        <v>144</v>
      </c>
      <c r="C38" s="91" t="s">
        <v>215</v>
      </c>
      <c r="D38" s="100">
        <v>1.034</v>
      </c>
      <c r="F38"/>
    </row>
    <row r="39" spans="2:6" ht="14.5" hidden="1" x14ac:dyDescent="0.25">
      <c r="B39" s="90" t="s">
        <v>145</v>
      </c>
      <c r="C39" s="90" t="s">
        <v>207</v>
      </c>
      <c r="D39" s="100">
        <v>1.0069999999999999</v>
      </c>
      <c r="F39"/>
    </row>
    <row r="40" spans="2:6" ht="14.5" hidden="1" x14ac:dyDescent="0.25">
      <c r="B40" s="90" t="s">
        <v>146</v>
      </c>
      <c r="C40" s="91" t="s">
        <v>206</v>
      </c>
      <c r="D40" s="100">
        <v>1.0129999999999999</v>
      </c>
      <c r="F40"/>
    </row>
    <row r="41" spans="2:6" ht="14.5" hidden="1" x14ac:dyDescent="0.25">
      <c r="B41" s="90" t="s">
        <v>147</v>
      </c>
      <c r="C41" s="91" t="s">
        <v>205</v>
      </c>
      <c r="D41" s="100">
        <v>0.97299999999999998</v>
      </c>
      <c r="F41"/>
    </row>
    <row r="42" spans="2:6" ht="14.5" hidden="1" x14ac:dyDescent="0.25">
      <c r="B42" s="90" t="s">
        <v>148</v>
      </c>
      <c r="C42" s="91" t="s">
        <v>209</v>
      </c>
      <c r="D42" s="100">
        <v>0.97899999999999998</v>
      </c>
      <c r="F42"/>
    </row>
    <row r="43" spans="2:6" ht="14.5" hidden="1" x14ac:dyDescent="0.25">
      <c r="B43" s="90" t="s">
        <v>149</v>
      </c>
      <c r="C43" s="91" t="s">
        <v>205</v>
      </c>
      <c r="D43" s="100">
        <v>0.97299999999999998</v>
      </c>
      <c r="F43"/>
    </row>
    <row r="44" spans="2:6" ht="14.5" hidden="1" x14ac:dyDescent="0.25">
      <c r="B44" s="90" t="s">
        <v>150</v>
      </c>
      <c r="C44" s="91" t="s">
        <v>209</v>
      </c>
      <c r="D44" s="100">
        <v>0.97899999999999998</v>
      </c>
      <c r="F44"/>
    </row>
    <row r="45" spans="2:6" ht="14.5" hidden="1" x14ac:dyDescent="0.25">
      <c r="B45" s="90" t="s">
        <v>151</v>
      </c>
      <c r="C45" s="90" t="s">
        <v>207</v>
      </c>
      <c r="D45" s="100">
        <v>1.0069999999999999</v>
      </c>
      <c r="F45"/>
    </row>
    <row r="46" spans="2:6" ht="14.5" hidden="1" x14ac:dyDescent="0.25">
      <c r="B46" s="90" t="s">
        <v>152</v>
      </c>
      <c r="C46" s="91" t="s">
        <v>205</v>
      </c>
      <c r="D46" s="100">
        <v>0.97299999999999998</v>
      </c>
      <c r="F46"/>
    </row>
    <row r="47" spans="2:6" ht="14.5" hidden="1" x14ac:dyDescent="0.25">
      <c r="B47" s="90" t="s">
        <v>153</v>
      </c>
      <c r="C47" s="91" t="s">
        <v>209</v>
      </c>
      <c r="D47" s="100">
        <v>0.97899999999999998</v>
      </c>
      <c r="F47"/>
    </row>
    <row r="48" spans="2:6" ht="14.5" hidden="1" x14ac:dyDescent="0.25">
      <c r="B48" s="90" t="s">
        <v>154</v>
      </c>
      <c r="C48" s="91" t="s">
        <v>205</v>
      </c>
      <c r="D48" s="100">
        <v>0.97299999999999998</v>
      </c>
      <c r="F48"/>
    </row>
    <row r="49" spans="2:6" ht="14.5" hidden="1" x14ac:dyDescent="0.25">
      <c r="B49" s="90" t="s">
        <v>155</v>
      </c>
      <c r="C49" s="90" t="s">
        <v>207</v>
      </c>
      <c r="D49" s="100">
        <v>1.0069999999999999</v>
      </c>
      <c r="F49"/>
    </row>
    <row r="50" spans="2:6" ht="14.5" hidden="1" x14ac:dyDescent="0.25">
      <c r="B50" s="90" t="s">
        <v>156</v>
      </c>
      <c r="C50" s="91" t="s">
        <v>206</v>
      </c>
      <c r="D50" s="100">
        <v>1.0129999999999999</v>
      </c>
      <c r="F50"/>
    </row>
    <row r="51" spans="2:6" ht="14.5" hidden="1" x14ac:dyDescent="0.25">
      <c r="B51" s="90" t="s">
        <v>157</v>
      </c>
      <c r="C51" s="91" t="s">
        <v>209</v>
      </c>
      <c r="D51" s="100">
        <v>0.97899999999999998</v>
      </c>
      <c r="F51"/>
    </row>
    <row r="52" spans="2:6" ht="14.5" hidden="1" x14ac:dyDescent="0.25">
      <c r="B52" s="90" t="s">
        <v>158</v>
      </c>
      <c r="C52" s="91" t="s">
        <v>209</v>
      </c>
      <c r="D52" s="100">
        <v>0.97899999999999998</v>
      </c>
      <c r="F52"/>
    </row>
    <row r="53" spans="2:6" ht="14.5" hidden="1" x14ac:dyDescent="0.25">
      <c r="B53" s="90" t="s">
        <v>159</v>
      </c>
      <c r="C53" s="91" t="s">
        <v>209</v>
      </c>
      <c r="D53" s="100">
        <v>0.97899999999999998</v>
      </c>
      <c r="F53"/>
    </row>
    <row r="54" spans="2:6" ht="14.5" hidden="1" x14ac:dyDescent="0.25">
      <c r="B54" s="90" t="s">
        <v>160</v>
      </c>
      <c r="C54" s="90" t="s">
        <v>207</v>
      </c>
      <c r="D54" s="100">
        <v>1.0069999999999999</v>
      </c>
      <c r="F54"/>
    </row>
    <row r="55" spans="2:6" ht="14.5" hidden="1" x14ac:dyDescent="0.25">
      <c r="B55" s="90" t="s">
        <v>161</v>
      </c>
      <c r="C55" s="90" t="s">
        <v>207</v>
      </c>
      <c r="D55" s="100">
        <v>1.0069999999999999</v>
      </c>
      <c r="F55"/>
    </row>
    <row r="56" spans="2:6" ht="14.5" hidden="1" x14ac:dyDescent="0.25">
      <c r="B56" s="90" t="s">
        <v>162</v>
      </c>
      <c r="C56" s="91" t="s">
        <v>211</v>
      </c>
      <c r="D56" s="100">
        <v>0.95</v>
      </c>
      <c r="F56"/>
    </row>
    <row r="57" spans="2:6" ht="14.5" hidden="1" x14ac:dyDescent="0.25">
      <c r="B57" s="90" t="s">
        <v>163</v>
      </c>
      <c r="C57" s="91" t="s">
        <v>209</v>
      </c>
      <c r="D57" s="100">
        <v>0.97899999999999998</v>
      </c>
      <c r="F57"/>
    </row>
    <row r="58" spans="2:6" ht="14.5" hidden="1" x14ac:dyDescent="0.25">
      <c r="B58" s="90" t="s">
        <v>164</v>
      </c>
      <c r="C58" s="91" t="s">
        <v>206</v>
      </c>
      <c r="D58" s="100">
        <v>1.0129999999999999</v>
      </c>
      <c r="F58"/>
    </row>
    <row r="59" spans="2:6" ht="14.5" hidden="1" x14ac:dyDescent="0.25">
      <c r="B59" s="90" t="s">
        <v>165</v>
      </c>
      <c r="C59" s="90" t="s">
        <v>207</v>
      </c>
      <c r="D59" s="100">
        <v>1.0069999999999999</v>
      </c>
      <c r="F59"/>
    </row>
    <row r="60" spans="2:6" ht="14.5" hidden="1" x14ac:dyDescent="0.25">
      <c r="B60" s="90" t="s">
        <v>166</v>
      </c>
      <c r="C60" s="91" t="s">
        <v>211</v>
      </c>
      <c r="D60" s="100">
        <v>0.95</v>
      </c>
      <c r="F60"/>
    </row>
    <row r="61" spans="2:6" ht="14.5" hidden="1" x14ac:dyDescent="0.25">
      <c r="B61" s="90" t="s">
        <v>167</v>
      </c>
      <c r="C61" s="91" t="s">
        <v>209</v>
      </c>
      <c r="D61" s="100">
        <v>0.97899999999999998</v>
      </c>
      <c r="F61"/>
    </row>
    <row r="62" spans="2:6" ht="14.5" hidden="1" x14ac:dyDescent="0.25">
      <c r="B62" s="90" t="s">
        <v>168</v>
      </c>
      <c r="C62" s="91" t="s">
        <v>210</v>
      </c>
      <c r="D62" s="100">
        <v>1.0429999999999999</v>
      </c>
      <c r="F62"/>
    </row>
    <row r="63" spans="2:6" ht="14.5" hidden="1" x14ac:dyDescent="0.25">
      <c r="B63" s="90" t="s">
        <v>169</v>
      </c>
      <c r="C63" s="91" t="s">
        <v>209</v>
      </c>
      <c r="D63" s="100">
        <v>0.97899999999999998</v>
      </c>
      <c r="F63"/>
    </row>
    <row r="64" spans="2:6" ht="14.5" hidden="1" x14ac:dyDescent="0.25">
      <c r="B64" s="90" t="s">
        <v>170</v>
      </c>
      <c r="C64" s="90" t="s">
        <v>207</v>
      </c>
      <c r="D64" s="100">
        <v>1.0069999999999999</v>
      </c>
      <c r="F64"/>
    </row>
    <row r="65" spans="2:6" ht="14.5" hidden="1" x14ac:dyDescent="0.25">
      <c r="B65" s="90" t="s">
        <v>171</v>
      </c>
      <c r="C65" s="91" t="s">
        <v>214</v>
      </c>
      <c r="D65" s="100">
        <v>1.0469999999999999</v>
      </c>
      <c r="F65"/>
    </row>
    <row r="66" spans="2:6" ht="14.5" hidden="1" x14ac:dyDescent="0.25">
      <c r="B66" s="90" t="s">
        <v>172</v>
      </c>
      <c r="C66" s="90" t="s">
        <v>207</v>
      </c>
      <c r="D66" s="100">
        <v>1.0069999999999999</v>
      </c>
      <c r="F66"/>
    </row>
    <row r="67" spans="2:6" ht="14.5" hidden="1" x14ac:dyDescent="0.25">
      <c r="B67" s="90" t="s">
        <v>173</v>
      </c>
      <c r="C67" s="90" t="s">
        <v>207</v>
      </c>
      <c r="D67" s="100">
        <v>1.0069999999999999</v>
      </c>
      <c r="F67"/>
    </row>
    <row r="68" spans="2:6" ht="14.5" hidden="1" x14ac:dyDescent="0.25">
      <c r="B68" s="90" t="s">
        <v>174</v>
      </c>
      <c r="C68" s="91" t="s">
        <v>205</v>
      </c>
      <c r="D68" s="100">
        <v>0.97299999999999998</v>
      </c>
      <c r="F68"/>
    </row>
    <row r="69" spans="2:6" ht="14.5" hidden="1" x14ac:dyDescent="0.25">
      <c r="B69" s="90" t="s">
        <v>175</v>
      </c>
      <c r="C69" s="91" t="s">
        <v>209</v>
      </c>
      <c r="D69" s="100">
        <v>0.97899999999999998</v>
      </c>
      <c r="F69"/>
    </row>
    <row r="70" spans="2:6" ht="14.5" hidden="1" x14ac:dyDescent="0.25">
      <c r="B70" s="90" t="s">
        <v>176</v>
      </c>
      <c r="C70" s="91" t="s">
        <v>216</v>
      </c>
      <c r="D70" s="100">
        <v>0.99099999999999999</v>
      </c>
      <c r="F70"/>
    </row>
    <row r="71" spans="2:6" ht="14.5" hidden="1" x14ac:dyDescent="0.25">
      <c r="B71" s="90" t="s">
        <v>177</v>
      </c>
      <c r="C71" s="90" t="s">
        <v>207</v>
      </c>
      <c r="D71" s="100">
        <v>1.0069999999999999</v>
      </c>
      <c r="F71"/>
    </row>
    <row r="72" spans="2:6" ht="14.5" hidden="1" x14ac:dyDescent="0.25">
      <c r="B72" s="90" t="s">
        <v>178</v>
      </c>
      <c r="C72" s="90" t="s">
        <v>206</v>
      </c>
      <c r="D72" s="100">
        <v>1.0129999999999999</v>
      </c>
      <c r="F72"/>
    </row>
    <row r="73" spans="2:6" ht="14.5" hidden="1" x14ac:dyDescent="0.25">
      <c r="B73" s="90" t="s">
        <v>179</v>
      </c>
      <c r="C73" s="90" t="s">
        <v>207</v>
      </c>
      <c r="D73" s="100">
        <v>1.0069999999999999</v>
      </c>
      <c r="F73"/>
    </row>
    <row r="74" spans="2:6" ht="14.5" hidden="1" x14ac:dyDescent="0.25">
      <c r="B74" s="90" t="s">
        <v>180</v>
      </c>
      <c r="C74" s="91" t="s">
        <v>209</v>
      </c>
      <c r="D74" s="100">
        <v>0.97899999999999998</v>
      </c>
      <c r="F74"/>
    </row>
    <row r="75" spans="2:6" ht="14.5" hidden="1" x14ac:dyDescent="0.25">
      <c r="B75" s="90" t="s">
        <v>181</v>
      </c>
      <c r="C75" s="91" t="s">
        <v>209</v>
      </c>
      <c r="D75" s="100">
        <v>0.97899999999999998</v>
      </c>
      <c r="F75"/>
    </row>
    <row r="76" spans="2:6" ht="14.5" hidden="1" x14ac:dyDescent="0.25">
      <c r="B76" s="90" t="s">
        <v>182</v>
      </c>
      <c r="C76" s="91" t="s">
        <v>211</v>
      </c>
      <c r="D76" s="100">
        <v>0.95</v>
      </c>
      <c r="F76"/>
    </row>
    <row r="77" spans="2:6" ht="14.5" hidden="1" x14ac:dyDescent="0.25">
      <c r="B77" s="90" t="s">
        <v>183</v>
      </c>
      <c r="C77" s="91" t="s">
        <v>209</v>
      </c>
      <c r="D77" s="100">
        <v>0.97899999999999998</v>
      </c>
      <c r="F77"/>
    </row>
    <row r="78" spans="2:6" ht="14.5" hidden="1" x14ac:dyDescent="0.25">
      <c r="B78" s="90" t="s">
        <v>184</v>
      </c>
      <c r="C78" s="90" t="s">
        <v>207</v>
      </c>
      <c r="D78" s="100">
        <v>1.0069999999999999</v>
      </c>
      <c r="F78"/>
    </row>
    <row r="79" spans="2:6" ht="14.5" hidden="1" x14ac:dyDescent="0.25">
      <c r="B79" s="90" t="s">
        <v>185</v>
      </c>
      <c r="C79" s="91" t="s">
        <v>212</v>
      </c>
      <c r="D79" s="100">
        <v>0.95</v>
      </c>
      <c r="F79"/>
    </row>
    <row r="80" spans="2:6" ht="14.5" hidden="1" x14ac:dyDescent="0.25">
      <c r="B80" s="90" t="s">
        <v>186</v>
      </c>
      <c r="C80" s="90" t="s">
        <v>206</v>
      </c>
      <c r="D80" s="100">
        <v>1.0129999999999999</v>
      </c>
      <c r="F80"/>
    </row>
    <row r="81" spans="2:6" ht="14.5" hidden="1" x14ac:dyDescent="0.25">
      <c r="B81" s="90" t="s">
        <v>187</v>
      </c>
      <c r="C81" s="91" t="s">
        <v>206</v>
      </c>
      <c r="D81" s="100">
        <v>1.0129999999999999</v>
      </c>
      <c r="F81"/>
    </row>
    <row r="82" spans="2:6" ht="14.5" hidden="1" x14ac:dyDescent="0.25">
      <c r="B82" s="90" t="s">
        <v>188</v>
      </c>
      <c r="C82" s="91" t="s">
        <v>206</v>
      </c>
      <c r="D82" s="100">
        <v>1.0129999999999999</v>
      </c>
      <c r="F82"/>
    </row>
    <row r="83" spans="2:6" ht="14.5" hidden="1" x14ac:dyDescent="0.25">
      <c r="B83" s="90" t="s">
        <v>189</v>
      </c>
      <c r="C83" s="91" t="s">
        <v>208</v>
      </c>
      <c r="D83" s="100">
        <v>0.94599999999999995</v>
      </c>
      <c r="F83"/>
    </row>
    <row r="84" spans="2:6" ht="14.5" hidden="1" x14ac:dyDescent="0.25">
      <c r="B84" s="90" t="s">
        <v>190</v>
      </c>
      <c r="C84" s="91" t="s">
        <v>211</v>
      </c>
      <c r="D84" s="100">
        <v>0.95</v>
      </c>
      <c r="F84"/>
    </row>
    <row r="85" spans="2:6" ht="14.5" hidden="1" x14ac:dyDescent="0.25">
      <c r="B85" s="90" t="s">
        <v>191</v>
      </c>
      <c r="C85" s="90" t="s">
        <v>207</v>
      </c>
      <c r="D85" s="100">
        <v>1.0069999999999999</v>
      </c>
      <c r="F85"/>
    </row>
    <row r="86" spans="2:6" ht="14.5" hidden="1" x14ac:dyDescent="0.25">
      <c r="B86" s="90" t="s">
        <v>192</v>
      </c>
      <c r="C86" s="91" t="s">
        <v>209</v>
      </c>
      <c r="D86" s="100">
        <v>0.97899999999999998</v>
      </c>
      <c r="F86"/>
    </row>
    <row r="87" spans="2:6" ht="14.5" hidden="1" x14ac:dyDescent="0.25">
      <c r="B87" s="90" t="s">
        <v>193</v>
      </c>
      <c r="C87" s="90" t="s">
        <v>207</v>
      </c>
      <c r="D87" s="100">
        <v>1.0069999999999999</v>
      </c>
      <c r="F87"/>
    </row>
    <row r="88" spans="2:6" ht="14.5" hidden="1" x14ac:dyDescent="0.25">
      <c r="B88" s="90" t="s">
        <v>194</v>
      </c>
      <c r="C88" s="90" t="s">
        <v>207</v>
      </c>
      <c r="D88" s="100">
        <v>1.0069999999999999</v>
      </c>
      <c r="F88"/>
    </row>
    <row r="89" spans="2:6" ht="14.5" hidden="1" x14ac:dyDescent="0.25">
      <c r="B89" s="90" t="s">
        <v>195</v>
      </c>
      <c r="C89" s="91" t="s">
        <v>214</v>
      </c>
      <c r="D89" s="100">
        <v>1.0469999999999999</v>
      </c>
      <c r="F89"/>
    </row>
    <row r="90" spans="2:6" ht="14.5" hidden="1" x14ac:dyDescent="0.25">
      <c r="B90" s="90" t="s">
        <v>196</v>
      </c>
      <c r="C90" s="90" t="s">
        <v>207</v>
      </c>
      <c r="D90" s="100">
        <v>1.0069999999999999</v>
      </c>
      <c r="F90"/>
    </row>
    <row r="91" spans="2:6" ht="14.5" hidden="1" x14ac:dyDescent="0.25">
      <c r="B91" s="90" t="s">
        <v>197</v>
      </c>
      <c r="C91" s="91" t="s">
        <v>211</v>
      </c>
      <c r="D91" s="100">
        <v>0.95</v>
      </c>
      <c r="F91"/>
    </row>
    <row r="92" spans="2:6" ht="14.5" hidden="1" x14ac:dyDescent="0.25">
      <c r="B92" s="90" t="s">
        <v>198</v>
      </c>
      <c r="C92" s="90" t="s">
        <v>206</v>
      </c>
      <c r="D92" s="100">
        <v>1.0129999999999999</v>
      </c>
      <c r="F92"/>
    </row>
    <row r="93" spans="2:6" ht="14.5" hidden="1" x14ac:dyDescent="0.25">
      <c r="B93" s="90" t="s">
        <v>199</v>
      </c>
      <c r="C93" s="91" t="s">
        <v>211</v>
      </c>
      <c r="D93" s="100">
        <v>0.95</v>
      </c>
      <c r="F93"/>
    </row>
    <row r="94" spans="2:6" ht="14.5" hidden="1" x14ac:dyDescent="0.25">
      <c r="B94" s="90" t="s">
        <v>200</v>
      </c>
      <c r="C94" s="90" t="s">
        <v>207</v>
      </c>
      <c r="D94" s="100">
        <v>1.0069999999999999</v>
      </c>
      <c r="F94"/>
    </row>
    <row r="95" spans="2:6" ht="14.5" hidden="1" x14ac:dyDescent="0.25">
      <c r="B95" s="90" t="s">
        <v>201</v>
      </c>
      <c r="C95" s="91" t="s">
        <v>211</v>
      </c>
      <c r="D95" s="100">
        <v>0.95</v>
      </c>
      <c r="F95"/>
    </row>
    <row r="96" spans="2:6" ht="14.5" hidden="1" x14ac:dyDescent="0.25">
      <c r="B96" s="90" t="s">
        <v>202</v>
      </c>
      <c r="C96" s="91" t="s">
        <v>206</v>
      </c>
      <c r="D96" s="100">
        <v>1.0129999999999999</v>
      </c>
      <c r="F96"/>
    </row>
    <row r="97" spans="2:6" ht="17.25" hidden="1" customHeight="1" x14ac:dyDescent="0.25">
      <c r="B97" s="119" t="s">
        <v>203</v>
      </c>
      <c r="C97" s="120" t="s">
        <v>209</v>
      </c>
      <c r="D97" s="121">
        <v>0.97899999999999998</v>
      </c>
      <c r="F97"/>
    </row>
    <row r="98" spans="2:6" hidden="1" x14ac:dyDescent="0.25">
      <c r="B98" s="122" t="s">
        <v>226</v>
      </c>
      <c r="C98" s="122" t="s">
        <v>207</v>
      </c>
      <c r="D98" s="123">
        <v>1.0069999999999999</v>
      </c>
    </row>
    <row r="99" spans="2:6" hidden="1" x14ac:dyDescent="0.25">
      <c r="B99" s="122" t="s">
        <v>227</v>
      </c>
      <c r="C99" s="122" t="s">
        <v>207</v>
      </c>
      <c r="D99" s="123">
        <v>1.0069999999999999</v>
      </c>
    </row>
    <row r="100" spans="2:6" hidden="1" x14ac:dyDescent="0.25">
      <c r="B100" s="122" t="s">
        <v>228</v>
      </c>
      <c r="C100" s="122" t="s">
        <v>209</v>
      </c>
      <c r="D100" s="123">
        <v>0.97899999999999998</v>
      </c>
    </row>
    <row r="101" spans="2:6" hidden="1" x14ac:dyDescent="0.25">
      <c r="B101" s="122" t="s">
        <v>229</v>
      </c>
      <c r="C101" s="122" t="s">
        <v>206</v>
      </c>
      <c r="D101" s="123">
        <v>1.0129999999999999</v>
      </c>
    </row>
    <row r="102" spans="2:6" hidden="1" x14ac:dyDescent="0.25">
      <c r="B102" s="122" t="s">
        <v>230</v>
      </c>
      <c r="C102" s="122" t="s">
        <v>209</v>
      </c>
      <c r="D102" s="123">
        <v>0.97899999999999998</v>
      </c>
    </row>
    <row r="103" spans="2:6" hidden="1" x14ac:dyDescent="0.25">
      <c r="B103" s="122" t="s">
        <v>231</v>
      </c>
      <c r="C103" s="122" t="s">
        <v>206</v>
      </c>
      <c r="D103" s="123">
        <v>1.0129999999999999</v>
      </c>
    </row>
    <row r="104" spans="2:6" hidden="1" x14ac:dyDescent="0.25">
      <c r="B104" s="122" t="s">
        <v>232</v>
      </c>
      <c r="C104" s="122" t="s">
        <v>205</v>
      </c>
      <c r="D104" s="122">
        <v>0.97299999999999998</v>
      </c>
    </row>
    <row r="105" spans="2:6" hidden="1" x14ac:dyDescent="0.25">
      <c r="B105" s="122" t="s">
        <v>233</v>
      </c>
      <c r="C105" s="122" t="s">
        <v>212</v>
      </c>
      <c r="D105" s="123">
        <v>0.95</v>
      </c>
    </row>
    <row r="106" spans="2:6" hidden="1" x14ac:dyDescent="0.25">
      <c r="B106" s="122" t="s">
        <v>234</v>
      </c>
      <c r="C106" s="122" t="s">
        <v>207</v>
      </c>
      <c r="D106" s="122">
        <v>1.0069999999999999</v>
      </c>
    </row>
    <row r="107" spans="2:6" hidden="1" x14ac:dyDescent="0.25">
      <c r="B107" s="122" t="s">
        <v>235</v>
      </c>
      <c r="C107" s="122" t="s">
        <v>205</v>
      </c>
      <c r="D107" s="122">
        <v>0.97299999999999998</v>
      </c>
    </row>
    <row r="108" spans="2:6" hidden="1" x14ac:dyDescent="0.25">
      <c r="B108" s="122" t="s">
        <v>236</v>
      </c>
      <c r="C108" s="122" t="s">
        <v>211</v>
      </c>
      <c r="D108" s="123">
        <v>0.95</v>
      </c>
    </row>
    <row r="109" spans="2:6" hidden="1" x14ac:dyDescent="0.25"/>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125" workbookViewId="0"/>
  </sheetViews>
  <sheetFormatPr defaultColWidth="9.1796875" defaultRowHeight="12.5" x14ac:dyDescent="0.25"/>
  <cols>
    <col min="1" max="1" width="37.81640625" style="28" customWidth="1"/>
    <col min="2" max="2" width="20.7265625" style="28" bestFit="1" customWidth="1"/>
    <col min="3" max="3" width="14.1796875" style="105" customWidth="1"/>
    <col min="4" max="4" width="16" style="105" customWidth="1"/>
    <col min="5" max="5" width="14.1796875" style="105" customWidth="1"/>
    <col min="6" max="6" width="11.26953125" style="105" bestFit="1" customWidth="1"/>
    <col min="7" max="7" width="9.1796875" style="105"/>
    <col min="8" max="16384" width="9.1796875" style="28"/>
  </cols>
  <sheetData>
    <row r="1" spans="1:6" ht="15.5" x14ac:dyDescent="0.35">
      <c r="A1" s="27" t="s">
        <v>63</v>
      </c>
      <c r="C1" s="104"/>
      <c r="D1" s="104"/>
      <c r="E1" s="104"/>
      <c r="F1" s="104"/>
    </row>
    <row r="2" spans="1:6" x14ac:dyDescent="0.25">
      <c r="A2" s="29"/>
      <c r="B2" s="29"/>
      <c r="E2" s="104"/>
      <c r="F2" s="104"/>
    </row>
    <row r="3" spans="1:6" ht="13" x14ac:dyDescent="0.3">
      <c r="A3" s="30" t="s">
        <v>11</v>
      </c>
      <c r="B3" s="26"/>
      <c r="C3" s="104"/>
      <c r="D3" s="106" t="s">
        <v>79</v>
      </c>
      <c r="E3" s="104"/>
      <c r="F3" s="104"/>
    </row>
    <row r="4" spans="1:6" x14ac:dyDescent="0.25">
      <c r="A4" s="53" t="s">
        <v>94</v>
      </c>
      <c r="B4" s="32">
        <f>'Direct Staffing'!C34</f>
        <v>0.95456071364500006</v>
      </c>
      <c r="D4" s="107">
        <f>B4</f>
        <v>0.95456071364500006</v>
      </c>
      <c r="E4" s="104"/>
      <c r="F4" s="104"/>
    </row>
    <row r="5" spans="1:6" x14ac:dyDescent="0.25">
      <c r="A5" s="29"/>
      <c r="B5" s="29"/>
      <c r="E5" s="104"/>
      <c r="F5" s="104"/>
    </row>
    <row r="6" spans="1:6" ht="13" x14ac:dyDescent="0.3">
      <c r="A6" s="30" t="s">
        <v>31</v>
      </c>
      <c r="B6" s="26"/>
      <c r="C6" s="104"/>
      <c r="D6" s="104"/>
      <c r="E6" s="104"/>
      <c r="F6" s="104"/>
    </row>
    <row r="7" spans="1:6" x14ac:dyDescent="0.25">
      <c r="A7" s="31" t="s">
        <v>64</v>
      </c>
      <c r="B7" s="39">
        <f>'Program Plan Support'!C9</f>
        <v>5.6000000000000001E-2</v>
      </c>
      <c r="D7" s="107">
        <f>ROUND(B7*D4,4)</f>
        <v>5.3499999999999999E-2</v>
      </c>
      <c r="E7" s="104"/>
      <c r="F7" s="104"/>
    </row>
    <row r="8" spans="1:6" x14ac:dyDescent="0.25">
      <c r="A8" s="29"/>
      <c r="B8" s="29"/>
      <c r="E8" s="104"/>
      <c r="F8" s="104"/>
    </row>
    <row r="9" spans="1:6" ht="13" x14ac:dyDescent="0.3">
      <c r="A9" s="30" t="s">
        <v>1</v>
      </c>
      <c r="B9" s="26"/>
      <c r="C9" s="104"/>
      <c r="D9" s="104"/>
      <c r="E9" s="104"/>
      <c r="F9" s="104"/>
    </row>
    <row r="10" spans="1:6" x14ac:dyDescent="0.25">
      <c r="A10" s="31" t="s">
        <v>9</v>
      </c>
      <c r="B10" s="40">
        <f>'Emp. Related Exp.'!C19</f>
        <v>0.23599999999999999</v>
      </c>
      <c r="C10" s="107"/>
      <c r="D10" s="107">
        <f>ROUND(B10*(D4+D7),4)</f>
        <v>0.2379</v>
      </c>
      <c r="E10" s="104"/>
      <c r="F10" s="104"/>
    </row>
    <row r="11" spans="1:6" ht="16.5" customHeight="1" x14ac:dyDescent="0.25">
      <c r="A11" s="29"/>
      <c r="B11" s="29"/>
      <c r="E11" s="104"/>
      <c r="F11" s="104"/>
    </row>
    <row r="12" spans="1:6" ht="13" x14ac:dyDescent="0.3">
      <c r="A12" s="30" t="s">
        <v>34</v>
      </c>
      <c r="B12" s="26"/>
      <c r="C12" s="104"/>
      <c r="D12" s="104"/>
      <c r="E12" s="104"/>
      <c r="F12" s="104"/>
    </row>
    <row r="13" spans="1:6" x14ac:dyDescent="0.25">
      <c r="A13" s="33" t="s">
        <v>35</v>
      </c>
      <c r="B13" s="151">
        <f>'Client Programming &amp; Supports'!C9</f>
        <v>7.7799999999999994E-2</v>
      </c>
      <c r="D13" s="108">
        <f>ROUND((D4+D7+D10)*B13,4)</f>
        <v>9.69E-2</v>
      </c>
      <c r="E13" s="104"/>
      <c r="F13" s="104"/>
    </row>
    <row r="14" spans="1:6" x14ac:dyDescent="0.25">
      <c r="A14" s="29"/>
      <c r="B14" s="29"/>
      <c r="E14" s="104"/>
      <c r="F14" s="104"/>
    </row>
    <row r="15" spans="1:6" ht="13" x14ac:dyDescent="0.3">
      <c r="A15" s="30" t="s">
        <v>46</v>
      </c>
      <c r="B15" s="26"/>
      <c r="C15" s="104"/>
      <c r="D15" s="104"/>
      <c r="E15" s="104"/>
      <c r="F15" s="104"/>
    </row>
    <row r="16" spans="1:6" x14ac:dyDescent="0.25">
      <c r="A16" s="33" t="s">
        <v>65</v>
      </c>
      <c r="B16" s="152">
        <f>'Program Facility'!C5</f>
        <v>0.20799999999999999</v>
      </c>
      <c r="D16" s="108">
        <f>B16</f>
        <v>0.20799999999999999</v>
      </c>
      <c r="E16" s="104"/>
      <c r="F16" s="104"/>
    </row>
    <row r="17" spans="1:8" x14ac:dyDescent="0.25">
      <c r="A17" s="29"/>
      <c r="B17" s="29"/>
      <c r="E17" s="104"/>
      <c r="F17" s="104"/>
    </row>
    <row r="18" spans="1:8" ht="13" x14ac:dyDescent="0.3">
      <c r="A18" s="30" t="s">
        <v>13</v>
      </c>
      <c r="B18" s="26"/>
      <c r="C18" s="104"/>
      <c r="D18" s="104"/>
      <c r="E18" s="104"/>
      <c r="F18" s="104"/>
    </row>
    <row r="19" spans="1:8" x14ac:dyDescent="0.25">
      <c r="A19" s="31" t="s">
        <v>12</v>
      </c>
      <c r="B19" s="41">
        <f>'Program Related Expenses'!E8</f>
        <v>0.2445</v>
      </c>
      <c r="C19" s="107"/>
      <c r="D19" s="107">
        <f>E19-(D4+D7+D10+D13+D16)</f>
        <v>0.50193928635499985</v>
      </c>
      <c r="E19" s="118">
        <f>ROUND((D4+D7+D10+D13+D16)/(1-B19),4)</f>
        <v>2.0528</v>
      </c>
      <c r="F19" s="104"/>
      <c r="G19" s="110"/>
    </row>
    <row r="20" spans="1:8" x14ac:dyDescent="0.25">
      <c r="A20" s="101"/>
      <c r="B20" s="102"/>
      <c r="C20" s="107"/>
      <c r="D20" s="107"/>
      <c r="E20" s="104"/>
      <c r="F20" s="104"/>
    </row>
    <row r="21" spans="1:8" ht="13" x14ac:dyDescent="0.3">
      <c r="A21" s="30" t="s">
        <v>222</v>
      </c>
      <c r="B21" s="54"/>
      <c r="C21" s="107"/>
      <c r="D21" s="107"/>
      <c r="E21" s="104"/>
      <c r="F21" s="104"/>
    </row>
    <row r="22" spans="1:8" x14ac:dyDescent="0.25">
      <c r="A22" s="49" t="s">
        <v>220</v>
      </c>
      <c r="B22" s="111" t="str">
        <f>'Regional Variance Factor'!B7</f>
        <v>-</v>
      </c>
      <c r="D22" s="112" t="str">
        <f>IF((B22&lt;&gt;"-"),((E19*B22)-E19),"Select County")</f>
        <v>Select County</v>
      </c>
      <c r="E22" s="104"/>
      <c r="F22" s="104"/>
      <c r="G22" s="109"/>
    </row>
    <row r="23" spans="1:8" x14ac:dyDescent="0.25">
      <c r="A23" s="87"/>
      <c r="B23" s="103"/>
      <c r="E23" s="104"/>
      <c r="F23" s="104"/>
    </row>
    <row r="24" spans="1:8" ht="13" x14ac:dyDescent="0.3">
      <c r="A24" s="35" t="s">
        <v>95</v>
      </c>
      <c r="B24" s="32" t="str">
        <f>D24</f>
        <v>Select County</v>
      </c>
      <c r="D24" s="108" t="str">
        <f>IF((B22&lt;&gt;"-"),E19+D22,"Select County")</f>
        <v>Select County</v>
      </c>
      <c r="E24" s="104"/>
      <c r="F24" s="104"/>
    </row>
    <row r="25" spans="1:8" ht="15.65" customHeight="1" x14ac:dyDescent="0.3">
      <c r="A25" s="96"/>
      <c r="B25" s="97"/>
      <c r="D25" s="108"/>
      <c r="E25" s="104"/>
      <c r="F25" s="104"/>
      <c r="H25" s="98"/>
    </row>
    <row r="26" spans="1:8" s="129" customFormat="1" ht="13" hidden="1" x14ac:dyDescent="0.3">
      <c r="A26" s="124" t="s">
        <v>84</v>
      </c>
      <c r="B26" s="125">
        <v>1</v>
      </c>
      <c r="C26" s="126"/>
      <c r="D26" s="126"/>
      <c r="E26" s="126"/>
      <c r="F26" s="126"/>
      <c r="G26" s="127"/>
      <c r="H26" s="128"/>
    </row>
    <row r="27" spans="1:8" s="129" customFormat="1" hidden="1" x14ac:dyDescent="0.25">
      <c r="A27" s="130" t="s">
        <v>97</v>
      </c>
      <c r="B27" s="131" t="str">
        <f>IF((B22&lt;&gt;"-"),G29,"-")</f>
        <v>-</v>
      </c>
      <c r="C27" s="126"/>
      <c r="D27" s="132"/>
      <c r="E27" s="126"/>
      <c r="F27" s="126"/>
      <c r="G27" s="133">
        <f>B26</f>
        <v>1</v>
      </c>
      <c r="H27" s="128"/>
    </row>
    <row r="28" spans="1:8" s="129" customFormat="1" hidden="1" x14ac:dyDescent="0.25">
      <c r="A28" s="134"/>
      <c r="B28" s="135"/>
      <c r="C28" s="126"/>
      <c r="D28" s="136"/>
      <c r="E28" s="137"/>
      <c r="F28" s="137"/>
      <c r="G28" s="127">
        <f>1-G27</f>
        <v>0</v>
      </c>
      <c r="H28" s="128"/>
    </row>
    <row r="29" spans="1:8" ht="13" x14ac:dyDescent="0.3">
      <c r="A29" s="30" t="s">
        <v>237</v>
      </c>
      <c r="G29" s="113" t="e">
        <f>((B24+B22)*G27)-(B24+B22)</f>
        <v>#VALUE!</v>
      </c>
      <c r="H29" s="98"/>
    </row>
    <row r="30" spans="1:8" x14ac:dyDescent="0.25">
      <c r="A30" s="49" t="s">
        <v>107</v>
      </c>
      <c r="B30" s="34" t="str">
        <f>IF((B22&lt;&gt;"-"),B24+B27,"County")</f>
        <v>County</v>
      </c>
      <c r="H30" s="99"/>
    </row>
    <row r="32" spans="1:8" ht="13" hidden="1" x14ac:dyDescent="0.3">
      <c r="A32" s="30" t="s">
        <v>105</v>
      </c>
      <c r="B32" s="54">
        <v>0.01</v>
      </c>
    </row>
    <row r="33" spans="1:2" hidden="1" x14ac:dyDescent="0.25">
      <c r="A33" s="49" t="s">
        <v>106</v>
      </c>
      <c r="B33" s="34" t="str">
        <f>IF((B22&lt;&gt;"-"),B32*B30,"-")</f>
        <v>-</v>
      </c>
    </row>
    <row r="34" spans="1:2" hidden="1" x14ac:dyDescent="0.25"/>
    <row r="35" spans="1:2" ht="13" hidden="1" x14ac:dyDescent="0.3">
      <c r="A35" s="30" t="s">
        <v>111</v>
      </c>
    </row>
    <row r="36" spans="1:2" hidden="1" x14ac:dyDescent="0.25">
      <c r="A36" s="49" t="s">
        <v>108</v>
      </c>
      <c r="B36" s="34" t="str">
        <f>IF(B22&lt;&gt;"-",B33+B30,"-")</f>
        <v>-</v>
      </c>
    </row>
    <row r="37" spans="1:2" hidden="1" x14ac:dyDescent="0.25"/>
    <row r="38" spans="1:2" ht="13" hidden="1" x14ac:dyDescent="0.3">
      <c r="A38" s="30" t="s">
        <v>109</v>
      </c>
      <c r="B38" s="54">
        <v>0.05</v>
      </c>
    </row>
    <row r="39" spans="1:2" hidden="1" x14ac:dyDescent="0.25">
      <c r="A39" s="49" t="s">
        <v>106</v>
      </c>
      <c r="B39" s="34" t="str">
        <f>IF(B22&lt;&gt;"-",B38*B36,"-")</f>
        <v>-</v>
      </c>
    </row>
    <row r="40" spans="1:2" hidden="1" x14ac:dyDescent="0.25"/>
    <row r="41" spans="1:2" ht="13" hidden="1" x14ac:dyDescent="0.3">
      <c r="A41" s="30" t="s">
        <v>110</v>
      </c>
    </row>
    <row r="42" spans="1:2" hidden="1" x14ac:dyDescent="0.25">
      <c r="A42" s="49" t="s">
        <v>108</v>
      </c>
      <c r="B42" s="34" t="str">
        <f>IF(B22&lt;&gt;"-",B39+B36,"-")</f>
        <v>-</v>
      </c>
    </row>
    <row r="43" spans="1:2" hidden="1" x14ac:dyDescent="0.25"/>
    <row r="44" spans="1:2" ht="13" hidden="1" x14ac:dyDescent="0.3">
      <c r="A44" s="30" t="s">
        <v>112</v>
      </c>
      <c r="B44" s="54">
        <v>0.01</v>
      </c>
    </row>
    <row r="45" spans="1:2" hidden="1" x14ac:dyDescent="0.25">
      <c r="A45" s="49" t="s">
        <v>106</v>
      </c>
      <c r="B45" s="34" t="str">
        <f>IF(B22&lt;&gt;"-",B44*B42,"-")</f>
        <v>-</v>
      </c>
    </row>
    <row r="46" spans="1:2" hidden="1" x14ac:dyDescent="0.25"/>
    <row r="47" spans="1:2" ht="13" hidden="1" x14ac:dyDescent="0.3">
      <c r="A47" s="30" t="s">
        <v>113</v>
      </c>
    </row>
    <row r="48" spans="1:2" hidden="1" x14ac:dyDescent="0.25">
      <c r="A48" s="49" t="s">
        <v>108</v>
      </c>
      <c r="B48" s="34" t="str">
        <f>IF(B22&lt;&gt;"-",B45+B42,"Select County")</f>
        <v>Select County</v>
      </c>
    </row>
  </sheetData>
  <sheetProtection algorithmName="SHA-512" hashValue="//tUyvtvvdmIxXCZ+Zr8NPYZ/8lIfqB1wcWROUmlABkDDXxxpVJNzPKLvhQmTl+K2UbL2cOU5tVId02CnsFDTA==" saltValue="sTBydFalPqbSnBQD4qGzDA==" spinCount="100000" sheet="1" objects="1" scenarios="1"/>
  <phoneticPr fontId="2" type="noConversion"/>
  <dataValidations xWindow="448" yWindow="650" count="23">
    <dataValidation allowBlank="1" showInputMessage="1" showErrorMessage="1" prompt="Staffing Costs per Unit formula is equal Total Individual Staffing Amount from Direct Staffing sheet" sqref="B4"/>
    <dataValidation allowBlank="1" showInputMessage="1" showErrorMessage="1" prompt="Cost for Staffing per Unit Rate Calculation formula is equal to Staffing Cost per Unit"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Unit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Unit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dataValidation allowBlank="1" showInputMessage="1" showErrorMessage="1" prompt="Program Facility Cost formula is equal to Quarter Hourly Facility Cost from Program Facility sheet" sqref="B16"/>
    <dataValidation allowBlank="1" showInputMessage="1" showErrorMessage="1" prompt="Program Facility Rate formula is equal to Program Facility Cost" sqref="D16"/>
    <dataValidation allowBlank="1" showInputMessage="1" showErrorMessage="1" prompt="G&amp;A Standard formula is equal to Program Related Expenses from Program Related Expenses sheet" sqref="B19:B2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dataValidation allowBlank="1" showInputMessage="1" showErrorMessage="1" prompt="Unit Rate formula is equal to Total Unit Rate" sqref="B24:B25"/>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D25 D28"/>
    <dataValidation allowBlank="1" showInputMessage="1" showErrorMessage="1" prompt="Budget Neutrality Rate" sqref="B26 B21"/>
    <dataValidation allowBlank="1" showInputMessage="1" showErrorMessage="1" prompt="Unit Budget Neutrality formula is Total Unit Rate minus Unit Rate" sqref="B27:B28"/>
    <dataValidation allowBlank="1" showInputMessage="1" showErrorMessage="1" prompt="Post COLA Rate formula is Original Rate plus Cost of Living Adjustment" sqref="B36 B42 B48"/>
    <dataValidation allowBlank="1" showInputMessage="1" showErrorMessage="1" prompt="4/1/2014 COLA Increase " sqref="B32 B38 B44"/>
    <dataValidation allowBlank="1" showInputMessage="1" showErrorMessage="1" prompt="Cost of Living Adjustment formula is Original Total Unit Rate multiplied by COLA" sqref="B45"/>
    <dataValidation allowBlank="1" showInputMessage="1" showErrorMessage="1" prompt="Total Unit Rate formula is Budget Neutrality Rate times Unit Rate " sqref="B30"/>
    <dataValidation allowBlank="1" showInputMessage="1" showErrorMessage="1" prompt="Unit Regional Variance formula is Unit Rate times Regional Variance Factor" sqref="B23"/>
    <dataValidation allowBlank="1" showInputMessage="1" showErrorMessage="1" prompt="Unit Regional Variance formula is Unit Rate multiplied by the appropriate Regional Variance Factor" sqref="B22"/>
    <dataValidation allowBlank="1" showInputMessage="1" showErrorMessage="1" prompt="Cost of Living Adjustment formula is Original Total Unit Rate multiplied by COLA" sqref="B33 B39"/>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opLeftCell="A6" workbookViewId="0">
      <selection sqref="A1:XFD5"/>
    </sheetView>
  </sheetViews>
  <sheetFormatPr defaultRowHeight="12.5" x14ac:dyDescent="0.25"/>
  <cols>
    <col min="2" max="2" width="51.453125" style="88" customWidth="1"/>
  </cols>
  <sheetData>
    <row r="1" spans="1:3" ht="26.25" hidden="1" customHeight="1" x14ac:dyDescent="0.25"/>
    <row r="2" spans="1:3" hidden="1" x14ac:dyDescent="0.25"/>
    <row r="3" spans="1:3" ht="37.5" hidden="1" x14ac:dyDescent="0.25">
      <c r="A3" s="146">
        <v>44197</v>
      </c>
      <c r="B3" s="88" t="s">
        <v>250</v>
      </c>
      <c r="C3" t="s">
        <v>251</v>
      </c>
    </row>
    <row r="4" spans="1:3" hidden="1" x14ac:dyDescent="0.25">
      <c r="A4" s="140">
        <v>44378</v>
      </c>
      <c r="B4" s="139" t="s">
        <v>252</v>
      </c>
      <c r="C4" t="s">
        <v>253</v>
      </c>
    </row>
    <row r="5" spans="1:3" ht="37.5" hidden="1" x14ac:dyDescent="0.25">
      <c r="A5" s="140">
        <v>44562</v>
      </c>
      <c r="B5" s="139" t="s">
        <v>255</v>
      </c>
      <c r="C5" t="s">
        <v>254</v>
      </c>
    </row>
    <row r="6" spans="1:3" x14ac:dyDescent="0.25">
      <c r="A6" s="138"/>
      <c r="B6" s="139"/>
      <c r="C6" s="138"/>
    </row>
    <row r="7" spans="1:3" x14ac:dyDescent="0.25">
      <c r="A7" s="138"/>
      <c r="B7" s="139"/>
      <c r="C7" s="138"/>
    </row>
    <row r="8" spans="1:3" x14ac:dyDescent="0.25">
      <c r="A8" s="138"/>
      <c r="B8" s="139"/>
      <c r="C8" s="138"/>
    </row>
    <row r="9" spans="1:3" x14ac:dyDescent="0.25">
      <c r="A9" s="138"/>
      <c r="B9" s="139"/>
      <c r="C9" s="138"/>
    </row>
    <row r="10" spans="1:3" x14ac:dyDescent="0.25">
      <c r="A10" s="138"/>
      <c r="B10" s="139"/>
      <c r="C10" s="138"/>
    </row>
    <row r="11" spans="1:3" x14ac:dyDescent="0.25">
      <c r="A11" s="138"/>
      <c r="B11" s="139"/>
      <c r="C11" s="138"/>
    </row>
    <row r="12" spans="1:3" x14ac:dyDescent="0.25">
      <c r="A12" s="138"/>
      <c r="B12" s="139"/>
      <c r="C12" s="138"/>
    </row>
    <row r="13" spans="1:3" x14ac:dyDescent="0.25">
      <c r="A13" s="138"/>
      <c r="B13" s="139"/>
      <c r="C13" s="138"/>
    </row>
    <row r="14" spans="1:3" x14ac:dyDescent="0.25">
      <c r="A14" s="138"/>
      <c r="B14" s="139"/>
      <c r="C14" s="138"/>
    </row>
    <row r="15" spans="1:3" x14ac:dyDescent="0.25">
      <c r="A15" s="138"/>
      <c r="B15" s="139"/>
      <c r="C15" s="138"/>
    </row>
    <row r="16" spans="1:3" x14ac:dyDescent="0.25">
      <c r="A16" s="138"/>
      <c r="B16" s="139"/>
      <c r="C16" s="138"/>
    </row>
    <row r="17" spans="1:3" x14ac:dyDescent="0.25">
      <c r="A17" s="138"/>
      <c r="B17" s="139"/>
      <c r="C17" s="138"/>
    </row>
    <row r="18" spans="1:3" x14ac:dyDescent="0.25">
      <c r="A18" s="138"/>
      <c r="B18" s="139"/>
      <c r="C18" s="138"/>
    </row>
    <row r="19" spans="1:3" x14ac:dyDescent="0.25">
      <c r="A19" s="138"/>
      <c r="B19" s="139"/>
      <c r="C19" s="138"/>
    </row>
    <row r="20" spans="1:3" x14ac:dyDescent="0.25">
      <c r="A20" s="138"/>
      <c r="B20" s="139"/>
      <c r="C20" s="138"/>
    </row>
    <row r="21" spans="1:3" x14ac:dyDescent="0.25">
      <c r="A21" s="140"/>
      <c r="B21" s="139"/>
      <c r="C21" s="138"/>
    </row>
    <row r="22" spans="1:3" x14ac:dyDescent="0.25">
      <c r="A22" s="140"/>
      <c r="B22" s="139"/>
      <c r="C22" s="138"/>
    </row>
    <row r="23" spans="1:3" x14ac:dyDescent="0.25">
      <c r="A23" s="140"/>
      <c r="B23" s="139"/>
      <c r="C23" s="138"/>
    </row>
    <row r="24" spans="1:3" x14ac:dyDescent="0.25">
      <c r="A24" s="140"/>
      <c r="B24" s="139"/>
      <c r="C24" s="138"/>
    </row>
    <row r="25" spans="1:3" x14ac:dyDescent="0.25">
      <c r="A25" s="140"/>
      <c r="B25" s="139"/>
      <c r="C25" s="138"/>
    </row>
    <row r="26" spans="1:3" x14ac:dyDescent="0.25">
      <c r="A26" s="140"/>
      <c r="B26" s="139"/>
      <c r="C26" s="138"/>
    </row>
    <row r="27" spans="1:3" x14ac:dyDescent="0.25">
      <c r="A27" s="140"/>
      <c r="B27" s="139"/>
      <c r="C27" s="138"/>
    </row>
    <row r="28" spans="1:3" x14ac:dyDescent="0.25">
      <c r="A28" s="140"/>
      <c r="B28" s="139"/>
      <c r="C28" s="138"/>
    </row>
    <row r="29" spans="1:3" x14ac:dyDescent="0.25">
      <c r="A29" s="140"/>
      <c r="B29" s="141"/>
      <c r="C29" s="142"/>
    </row>
    <row r="30" spans="1:3" x14ac:dyDescent="0.25">
      <c r="A30" s="140"/>
      <c r="B30" s="139"/>
      <c r="C30" s="142"/>
    </row>
    <row r="31" spans="1:3" x14ac:dyDescent="0.25">
      <c r="A31" s="140"/>
      <c r="B31" s="139"/>
      <c r="C31" s="142"/>
    </row>
    <row r="32" spans="1:3" x14ac:dyDescent="0.25">
      <c r="A32" s="140"/>
      <c r="B32" s="141"/>
      <c r="C32" s="142"/>
    </row>
    <row r="33" spans="1:3" x14ac:dyDescent="0.25">
      <c r="A33" s="140"/>
      <c r="B33" s="139"/>
      <c r="C33" s="142"/>
    </row>
    <row r="34" spans="1:3" x14ac:dyDescent="0.25">
      <c r="A34" s="140"/>
      <c r="B34" s="142"/>
      <c r="C34" s="142"/>
    </row>
    <row r="35" spans="1:3" x14ac:dyDescent="0.25">
      <c r="A35" s="142"/>
      <c r="B35" s="141"/>
      <c r="C35" s="138"/>
    </row>
    <row r="36" spans="1:3" x14ac:dyDescent="0.25">
      <c r="A36" s="138"/>
      <c r="B36" s="139"/>
      <c r="C36" s="138"/>
    </row>
    <row r="37" spans="1:3" x14ac:dyDescent="0.25">
      <c r="A37" s="138"/>
      <c r="B37" s="139"/>
      <c r="C37" s="138"/>
    </row>
    <row r="38" spans="1:3" x14ac:dyDescent="0.25">
      <c r="A38" s="138"/>
      <c r="B38" s="139"/>
      <c r="C38" s="138"/>
    </row>
    <row r="39" spans="1:3" x14ac:dyDescent="0.25">
      <c r="A39" s="138"/>
      <c r="B39" s="139"/>
      <c r="C39" s="138"/>
    </row>
    <row r="40" spans="1:3" x14ac:dyDescent="0.25">
      <c r="A40" s="138"/>
      <c r="B40" s="139"/>
      <c r="C40" s="138"/>
    </row>
    <row r="41" spans="1:3" x14ac:dyDescent="0.25">
      <c r="A41" s="138"/>
      <c r="B41" s="139"/>
      <c r="C41" s="138"/>
    </row>
    <row r="42" spans="1:3" x14ac:dyDescent="0.25">
      <c r="A42" s="138"/>
      <c r="B42" s="139"/>
      <c r="C42" s="138"/>
    </row>
    <row r="43" spans="1:3" x14ac:dyDescent="0.25">
      <c r="A43" s="138"/>
      <c r="B43" s="139"/>
      <c r="C43" s="138"/>
    </row>
  </sheetData>
  <sheetProtection algorithmName="SHA-512" hashValue="nW+LqsH54NRT2YDFwYBMIcd+3a7NX8Nk2GIltt5+a0NDOGrTq4gz/QkQiSXs+oMBRFArUT33b++yRvtg3jxh0Q==" saltValue="1Jkr5KqOY4NstFvXqynic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edf6231040f0fa566828bfdec7e07b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69752b8ee189844c5053ce27cf22ec4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12"/>
          <xsd:enumeration value="MnSP R21.2"/>
          <xsd:enumeration value="MnSP R21.3"/>
          <xsd:enumeration value="MnSP R21.4"/>
          <xsd:enumeration value="MnSP R21.6"/>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enumeration value="MnSP R21.9"/>
          <xsd:enumeration value="MNSPA R18.3"/>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R21.12</Category_x002d_Req>
    <Sub_x0020_category_x002d_req_x003a_ xmlns="39dc04e4-1dc7-4207-b25c-d7db9724c689">Frameworks</Sub_x0020_category_x002d_req_x003a_>
    <_dlc_DocId xmlns="0cdeeaad-74a8-4021-893f-c7b31297a14c">S2EJPDAADAY4-1521811817-557</_dlc_DocId>
    <_dlc_DocIdUrl xmlns="0cdeeaad-74a8-4021-893f-c7b31297a14c">
      <Url>https://workplace/cc/MnSPA/_layouts/15/DocIdRedir.aspx?ID=S2EJPDAADAY4-1521811817-557</Url>
      <Description>S2EJPDAADAY4-1521811817-557</Description>
    </_dlc_DocIdUrl>
  </documentManagement>
</p:properti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26BF9B3B-3D9F-4815-87E9-87E3092A3723}">
  <ds:schemaRefs>
    <ds:schemaRef ds:uri="http://schemas.microsoft.com/sharepoint/v3/contenttype/forms"/>
  </ds:schemaRefs>
</ds:datastoreItem>
</file>

<file path=customXml/itemProps2.xml><?xml version="1.0" encoding="utf-8"?>
<ds:datastoreItem xmlns:ds="http://schemas.openxmlformats.org/officeDocument/2006/customXml" ds:itemID="{E789C851-2669-4B02-B678-7EA9FDB654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7ABABC-B88A-4F95-867E-020C67994B06}">
  <ds:schemaRefs>
    <ds:schemaRef ds:uri="http://schemas.microsoft.com/office/2006/metadata/longProperties"/>
  </ds:schemaRefs>
</ds:datastoreItem>
</file>

<file path=customXml/itemProps4.xml><?xml version="1.0" encoding="utf-8"?>
<ds:datastoreItem xmlns:ds="http://schemas.openxmlformats.org/officeDocument/2006/customXml" ds:itemID="{E96FF144-0EFF-43E7-8D30-EEA9105ED121}">
  <ds:schemaRefs>
    <ds:schemaRef ds:uri="0cdeeaad-74a8-4021-893f-c7b31297a14c"/>
    <ds:schemaRef ds:uri="39dc04e4-1dc7-4207-b25c-d7db9724c689"/>
    <ds:schemaRef ds:uri="http://purl.org/dc/dcmitype/"/>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5.xml><?xml version="1.0" encoding="utf-8"?>
<ds:datastoreItem xmlns:ds="http://schemas.openxmlformats.org/officeDocument/2006/customXml" ds:itemID="{369E7E0D-D6BF-4D7B-8F45-8935C726ACE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Adult Day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Adult Day Services15Min version A v15</dc:title>
  <dc:creator>pwmfb67</dc:creator>
  <cp:lastModifiedBy>Lawson, Angie</cp:lastModifiedBy>
  <cp:lastPrinted>2013-08-19T19:00:56Z</cp:lastPrinted>
  <dcterms:created xsi:type="dcterms:W3CDTF">2009-10-20T14:58:44Z</dcterms:created>
  <dcterms:modified xsi:type="dcterms:W3CDTF">2021-12-08T20:15:51Z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S2EJPDAADAY4-1521811817-557</vt:lpwstr>
  </property>
  <property fmtid="{D5CDD505-2E9C-101B-9397-08002B2CF9AE}" pid="8" name="_dlc_DocIdItemGuid">
    <vt:lpwstr>17f5f572-b4ca-41b4-99a4-4cc6bb6a1ddd</vt:lpwstr>
  </property>
  <property fmtid="{D5CDD505-2E9C-101B-9397-08002B2CF9AE}" pid="9" name="_dlc_DocIdUrl">
    <vt:lpwstr>https://workplace/cc/MnSPA/_layouts/15/DocIdRedir.aspx?ID=S2EJPDAADAY4-1521811817-557, S2EJPDAADAY4-1521811817-557</vt:lpwstr>
  </property>
</Properties>
</file>