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S:\Groups\CARD\AEO\Business Expansions\"/>
    </mc:Choice>
  </mc:AlternateContent>
  <xr:revisionPtr revIDLastSave="0" documentId="8_{24FDCF89-DAD3-4A1B-B356-C70A99C71948}" xr6:coauthVersionLast="47" xr6:coauthVersionMax="47" xr10:uidLastSave="{00000000-0000-0000-0000-000000000000}"/>
  <bookViews>
    <workbookView xWindow="-28920" yWindow="-360" windowWidth="29040" windowHeight="15720" tabRatio="870" xr2:uid="{00000000-000D-0000-FFFF-FFFF00000000}"/>
  </bookViews>
  <sheets>
    <sheet name="MN Business Expansions_Tableau" sheetId="1" r:id="rId1"/>
    <sheet name="columns" sheetId="10" r:id="rId2"/>
    <sheet name="pivot current" sheetId="9" r:id="rId3"/>
    <sheet name="regions" sheetId="2" r:id="rId4"/>
  </sheets>
  <definedNames>
    <definedName name="_xlnm._FilterDatabase" localSheetId="0" hidden="1">'MN Business Expansions_Tableau'!$A$1:$AE$1231</definedName>
  </definedNames>
  <calcPr calcId="191028"/>
  <pivotCaches>
    <pivotCache cacheId="1259"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231" i="1" l="1"/>
  <c r="AD1230" i="1"/>
  <c r="AD1229" i="1"/>
  <c r="AD1228" i="1"/>
  <c r="AD1227" i="1"/>
  <c r="AD1226" i="1"/>
  <c r="W1226" i="1"/>
  <c r="AD1225" i="1"/>
  <c r="AD1224" i="1"/>
  <c r="AD1223" i="1"/>
  <c r="AD1222" i="1"/>
  <c r="AD1221" i="1"/>
  <c r="AD1220" i="1"/>
  <c r="AD1219" i="1"/>
  <c r="AD1218" i="1"/>
  <c r="AD1217" i="1"/>
  <c r="AD1216" i="1"/>
  <c r="AD1215" i="1"/>
  <c r="AD1214" i="1"/>
  <c r="L1214" i="1"/>
  <c r="AD1213" i="1"/>
  <c r="AD1212" i="1"/>
  <c r="AD1211" i="1"/>
  <c r="AD1210" i="1"/>
  <c r="AD1209" i="1"/>
  <c r="AD1208" i="1"/>
  <c r="AD1207" i="1"/>
  <c r="AD1206" i="1"/>
  <c r="L1206" i="1"/>
  <c r="AD1205" i="1"/>
  <c r="AD1204" i="1"/>
  <c r="AD1203" i="1"/>
  <c r="W1203" i="1"/>
  <c r="AD1202" i="1"/>
  <c r="AD1201" i="1"/>
  <c r="W1044" i="1"/>
  <c r="AK29" i="9" l="1"/>
  <c r="AJ29" i="9"/>
  <c r="AI29" i="9"/>
  <c r="AD22" i="9" l="1"/>
  <c r="AC22" i="9"/>
  <c r="AD20" i="9"/>
  <c r="AC20" i="9"/>
  <c r="AD19" i="9"/>
  <c r="AC19" i="9"/>
  <c r="AD18" i="9"/>
  <c r="AC18" i="9"/>
  <c r="AD17" i="9"/>
  <c r="AC17" i="9"/>
  <c r="AD16" i="9"/>
  <c r="AC16" i="9"/>
  <c r="AD15" i="9"/>
  <c r="AC15" i="9"/>
  <c r="AD14" i="9"/>
  <c r="AC14" i="9"/>
  <c r="AD13" i="9"/>
  <c r="AC13" i="9"/>
  <c r="AD12" i="9"/>
  <c r="AC12" i="9"/>
  <c r="AD11" i="9"/>
  <c r="AC11" i="9"/>
  <c r="AD10" i="9"/>
  <c r="AC10" i="9"/>
  <c r="AD9" i="9"/>
  <c r="AC9" i="9"/>
  <c r="AD8" i="9"/>
  <c r="AC8" i="9"/>
  <c r="AD7" i="9"/>
  <c r="AC7" i="9"/>
  <c r="AD6" i="9"/>
  <c r="AC6" i="9"/>
  <c r="AB22" i="9"/>
  <c r="AB9" i="9"/>
  <c r="AB10" i="9"/>
  <c r="AB11" i="9"/>
  <c r="AB12" i="9"/>
  <c r="AB13" i="9"/>
  <c r="AB14" i="9"/>
  <c r="AB15" i="9"/>
  <c r="AB16" i="9"/>
  <c r="AB17" i="9"/>
  <c r="AB18" i="9"/>
  <c r="AB19" i="9"/>
  <c r="AB20" i="9"/>
  <c r="AB8" i="9"/>
  <c r="AB7" i="9"/>
  <c r="AB6" i="9"/>
  <c r="L1199" i="1"/>
  <c r="W1082" i="1"/>
  <c r="W1086" i="1"/>
  <c r="AD2" i="1"/>
  <c r="AD3" i="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1" i="1"/>
  <c r="AD422" i="1"/>
  <c r="AD423" i="1"/>
  <c r="AD424" i="1"/>
  <c r="AD425" i="1"/>
  <c r="AD426" i="1"/>
  <c r="AD427" i="1"/>
  <c r="AD428" i="1"/>
  <c r="AD429" i="1"/>
  <c r="AD430" i="1"/>
  <c r="AD431" i="1"/>
  <c r="AD432" i="1"/>
  <c r="AD433" i="1"/>
  <c r="AD434" i="1"/>
  <c r="AD435" i="1"/>
  <c r="AD436" i="1"/>
  <c r="AD438" i="1"/>
  <c r="AD439" i="1"/>
  <c r="AD440" i="1"/>
  <c r="AD441" i="1"/>
  <c r="AD442" i="1"/>
  <c r="AD443" i="1"/>
  <c r="AD444" i="1"/>
  <c r="AD445" i="1"/>
  <c r="AD446" i="1"/>
  <c r="AD447" i="1"/>
  <c r="AD448" i="1"/>
  <c r="AD449" i="1"/>
  <c r="AD450" i="1"/>
  <c r="AD451" i="1"/>
  <c r="AD452" i="1"/>
  <c r="AD453" i="1"/>
  <c r="AD454" i="1"/>
  <c r="AD455" i="1"/>
  <c r="AD456" i="1"/>
  <c r="AD457" i="1"/>
  <c r="AD458" i="1"/>
  <c r="AD459" i="1"/>
  <c r="AD460" i="1"/>
  <c r="AD461" i="1"/>
  <c r="AD462" i="1"/>
  <c r="AD463" i="1"/>
  <c r="AD464" i="1"/>
  <c r="AD465" i="1"/>
  <c r="AD466" i="1"/>
  <c r="AD467" i="1"/>
  <c r="AD468" i="1"/>
  <c r="AD469" i="1"/>
  <c r="AD470" i="1"/>
  <c r="AD471" i="1"/>
  <c r="AD472" i="1"/>
  <c r="AD473" i="1"/>
  <c r="AD474" i="1"/>
  <c r="AD475" i="1"/>
  <c r="AD476" i="1"/>
  <c r="AD477" i="1"/>
  <c r="AD478" i="1"/>
  <c r="AD479" i="1"/>
  <c r="AD480" i="1"/>
  <c r="AD481" i="1"/>
  <c r="AD482" i="1"/>
  <c r="AD483" i="1"/>
  <c r="AD484" i="1"/>
  <c r="AD485" i="1"/>
  <c r="AD486" i="1"/>
  <c r="AD487" i="1"/>
  <c r="AD488" i="1"/>
  <c r="AD489" i="1"/>
  <c r="AD490" i="1"/>
  <c r="AD491" i="1"/>
  <c r="AD492" i="1"/>
  <c r="AD493" i="1"/>
  <c r="AD494" i="1"/>
  <c r="AD495" i="1"/>
  <c r="AD496" i="1"/>
  <c r="AD497" i="1"/>
  <c r="AD498" i="1"/>
  <c r="AD499" i="1"/>
  <c r="AD500" i="1"/>
  <c r="AD501" i="1"/>
  <c r="AD502" i="1"/>
  <c r="AD503" i="1"/>
  <c r="AD504" i="1"/>
  <c r="AD505" i="1"/>
  <c r="AD506" i="1"/>
  <c r="AD507" i="1"/>
  <c r="AD508" i="1"/>
  <c r="AD509" i="1"/>
  <c r="AD510" i="1"/>
  <c r="AD511" i="1"/>
  <c r="AD512" i="1"/>
  <c r="AD513" i="1"/>
  <c r="AD514" i="1"/>
  <c r="AD515" i="1"/>
  <c r="AD516" i="1"/>
  <c r="AD517" i="1"/>
  <c r="AD518" i="1"/>
  <c r="AD519" i="1"/>
  <c r="AD520" i="1"/>
  <c r="AD521" i="1"/>
  <c r="AD522" i="1"/>
  <c r="AD523" i="1"/>
  <c r="AD524" i="1"/>
  <c r="AD525" i="1"/>
  <c r="AD526" i="1"/>
  <c r="AD527" i="1"/>
  <c r="AD528" i="1"/>
  <c r="AD529" i="1"/>
  <c r="AD530" i="1"/>
  <c r="AD531" i="1"/>
  <c r="AD532" i="1"/>
  <c r="AD533" i="1"/>
  <c r="AD534" i="1"/>
  <c r="AD535" i="1"/>
  <c r="AD536" i="1"/>
  <c r="AD537" i="1"/>
  <c r="AD538" i="1"/>
  <c r="AD539" i="1"/>
  <c r="AD540" i="1"/>
  <c r="AD541" i="1"/>
  <c r="AD542" i="1"/>
  <c r="AD543" i="1"/>
  <c r="AD544" i="1"/>
  <c r="AD545" i="1"/>
  <c r="AD546" i="1"/>
  <c r="AD547" i="1"/>
  <c r="AD548" i="1"/>
  <c r="AD549" i="1"/>
  <c r="AD550" i="1"/>
  <c r="AD551" i="1"/>
  <c r="AD552" i="1"/>
  <c r="AD553" i="1"/>
  <c r="AD554" i="1"/>
  <c r="AD555" i="1"/>
  <c r="AD556" i="1"/>
  <c r="AD557" i="1"/>
  <c r="AD558" i="1"/>
  <c r="AD559" i="1"/>
  <c r="AD560" i="1"/>
  <c r="AD561" i="1"/>
  <c r="AD562" i="1"/>
  <c r="AD563" i="1"/>
  <c r="AD564" i="1"/>
  <c r="AD565" i="1"/>
  <c r="AD566" i="1"/>
  <c r="AD567" i="1"/>
  <c r="AD568" i="1"/>
  <c r="AD569" i="1"/>
  <c r="AD570" i="1"/>
  <c r="AD571" i="1"/>
  <c r="AD572" i="1"/>
  <c r="AD573" i="1"/>
  <c r="AD574" i="1"/>
  <c r="AD575" i="1"/>
  <c r="AD576" i="1"/>
  <c r="AD577" i="1"/>
  <c r="AD578" i="1"/>
  <c r="AD579" i="1"/>
  <c r="AD580" i="1"/>
  <c r="AD581" i="1"/>
  <c r="AD582" i="1"/>
  <c r="AD583"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641" i="1"/>
  <c r="AD642" i="1"/>
  <c r="AD643" i="1"/>
  <c r="AD644" i="1"/>
  <c r="AD645" i="1"/>
  <c r="AD646" i="1"/>
  <c r="AD647" i="1"/>
  <c r="AD648" i="1"/>
  <c r="AD649" i="1"/>
  <c r="AD650" i="1"/>
  <c r="AD651" i="1"/>
  <c r="AD652" i="1"/>
  <c r="AD653" i="1"/>
  <c r="AD654" i="1"/>
  <c r="AD655" i="1"/>
  <c r="AD656" i="1"/>
  <c r="AD657" i="1"/>
  <c r="AD658" i="1"/>
  <c r="AD659" i="1"/>
  <c r="AD660" i="1"/>
  <c r="AD661" i="1"/>
  <c r="AD662" i="1"/>
  <c r="AD663" i="1"/>
  <c r="AD664" i="1"/>
  <c r="AD665" i="1"/>
  <c r="AD666" i="1"/>
  <c r="AD667" i="1"/>
  <c r="AD668" i="1"/>
  <c r="AD669" i="1"/>
  <c r="AD670" i="1"/>
  <c r="AD671" i="1"/>
  <c r="AD672" i="1"/>
  <c r="AD673" i="1"/>
  <c r="AD674" i="1"/>
  <c r="AD675" i="1"/>
  <c r="AD676" i="1"/>
  <c r="AD677" i="1"/>
  <c r="AD678" i="1"/>
  <c r="AD679" i="1"/>
  <c r="AD680" i="1"/>
  <c r="AD681" i="1"/>
  <c r="AD682" i="1"/>
  <c r="AD683" i="1"/>
  <c r="AD684" i="1"/>
  <c r="AD685" i="1"/>
  <c r="AD686" i="1"/>
  <c r="AD687" i="1"/>
  <c r="AD688" i="1"/>
  <c r="AD689" i="1"/>
  <c r="AD690" i="1"/>
  <c r="AD691" i="1"/>
  <c r="AD692" i="1"/>
  <c r="AD693" i="1"/>
  <c r="AD694" i="1"/>
  <c r="AD695" i="1"/>
  <c r="AD696" i="1"/>
  <c r="AD697" i="1"/>
  <c r="AD698" i="1"/>
  <c r="AD699" i="1"/>
  <c r="AD700" i="1"/>
  <c r="AD701" i="1"/>
  <c r="AD702" i="1"/>
  <c r="AD703" i="1"/>
  <c r="AD704" i="1"/>
  <c r="AD705" i="1"/>
  <c r="AD706" i="1"/>
  <c r="AD707" i="1"/>
  <c r="AD708" i="1"/>
  <c r="AD709" i="1"/>
  <c r="AD710" i="1"/>
  <c r="AD711" i="1"/>
  <c r="AD712" i="1"/>
  <c r="AD713" i="1"/>
  <c r="AD714" i="1"/>
  <c r="AD715" i="1"/>
  <c r="AD716" i="1"/>
  <c r="AD717" i="1"/>
  <c r="AD718" i="1"/>
  <c r="AD719" i="1"/>
  <c r="AD720" i="1"/>
  <c r="AD721" i="1"/>
  <c r="AD722" i="1"/>
  <c r="AD723" i="1"/>
  <c r="AD724" i="1"/>
  <c r="AD725" i="1"/>
  <c r="AD726" i="1"/>
  <c r="AD727" i="1"/>
  <c r="AD728" i="1"/>
  <c r="AD729" i="1"/>
  <c r="AD730" i="1"/>
  <c r="AD731" i="1"/>
  <c r="AD732" i="1"/>
  <c r="AD733" i="1"/>
  <c r="AD734" i="1"/>
  <c r="AD735" i="1"/>
  <c r="AD736" i="1"/>
  <c r="AD737" i="1"/>
  <c r="AD738" i="1"/>
  <c r="AD739" i="1"/>
  <c r="AD740" i="1"/>
  <c r="AD741" i="1"/>
  <c r="AD742" i="1"/>
  <c r="AD743" i="1"/>
  <c r="AD744" i="1"/>
  <c r="AD745" i="1"/>
  <c r="AD746" i="1"/>
  <c r="AD747" i="1"/>
  <c r="AD748" i="1"/>
  <c r="AD749" i="1"/>
  <c r="AD750" i="1"/>
  <c r="AD751" i="1"/>
  <c r="AD752" i="1"/>
  <c r="AD753" i="1"/>
  <c r="AD754" i="1"/>
  <c r="AD755" i="1"/>
  <c r="AD756" i="1"/>
  <c r="AD757" i="1"/>
  <c r="AD758" i="1"/>
  <c r="AD759" i="1"/>
  <c r="AD760" i="1"/>
  <c r="AD761" i="1"/>
  <c r="AD762" i="1"/>
  <c r="AD763" i="1"/>
  <c r="AD764" i="1"/>
  <c r="AD765" i="1"/>
  <c r="AD766" i="1"/>
  <c r="AD767" i="1"/>
  <c r="AD768" i="1"/>
  <c r="AD769" i="1"/>
  <c r="AD770" i="1"/>
  <c r="AD771" i="1"/>
  <c r="AD772" i="1"/>
  <c r="AD773" i="1"/>
  <c r="AD774" i="1"/>
  <c r="AD775" i="1"/>
  <c r="AD776" i="1"/>
  <c r="AD777" i="1"/>
  <c r="AD778" i="1"/>
  <c r="AD779" i="1"/>
  <c r="AD780" i="1"/>
  <c r="AD781" i="1"/>
  <c r="AD782" i="1"/>
  <c r="AD783" i="1"/>
  <c r="AD784" i="1"/>
  <c r="AD785" i="1"/>
  <c r="AD786" i="1"/>
  <c r="AD787" i="1"/>
  <c r="AD788" i="1"/>
  <c r="AD789" i="1"/>
  <c r="AD790" i="1"/>
  <c r="AD791" i="1"/>
  <c r="AD792" i="1"/>
  <c r="AD793" i="1"/>
  <c r="AD794" i="1"/>
  <c r="AD795" i="1"/>
  <c r="AD796" i="1"/>
  <c r="AD797" i="1"/>
  <c r="AD798" i="1"/>
  <c r="AD799" i="1"/>
  <c r="AD800" i="1"/>
  <c r="AD801" i="1"/>
  <c r="AD802" i="1"/>
  <c r="AD803" i="1"/>
  <c r="AD804" i="1"/>
  <c r="AD805" i="1"/>
  <c r="AD806" i="1"/>
  <c r="AD807" i="1"/>
  <c r="AD808" i="1"/>
  <c r="AD809" i="1"/>
  <c r="AD810" i="1"/>
  <c r="AD811" i="1"/>
  <c r="AD812" i="1"/>
  <c r="AD813" i="1"/>
  <c r="AD814" i="1"/>
  <c r="AD815" i="1"/>
  <c r="AD816" i="1"/>
  <c r="AD817" i="1"/>
  <c r="AD818" i="1"/>
  <c r="AD819" i="1"/>
  <c r="AD820" i="1"/>
  <c r="AD821" i="1"/>
  <c r="AD822" i="1"/>
  <c r="AD823" i="1"/>
  <c r="AD824" i="1"/>
  <c r="AD825" i="1"/>
  <c r="AD826" i="1"/>
  <c r="AD827" i="1"/>
  <c r="AD828" i="1"/>
  <c r="AD829" i="1"/>
  <c r="AD830" i="1"/>
  <c r="AD831" i="1"/>
  <c r="AD832" i="1"/>
  <c r="AD833" i="1"/>
  <c r="AD834" i="1"/>
  <c r="AD835" i="1"/>
  <c r="AD836" i="1"/>
  <c r="AD837" i="1"/>
  <c r="AD838" i="1"/>
  <c r="AD839" i="1"/>
  <c r="AD840" i="1"/>
  <c r="AD841" i="1"/>
  <c r="AD842" i="1"/>
  <c r="AD843" i="1"/>
  <c r="AD844" i="1"/>
  <c r="AD845" i="1"/>
  <c r="AD846" i="1"/>
  <c r="AD847" i="1"/>
  <c r="AD848" i="1"/>
  <c r="AD849" i="1"/>
  <c r="AD850" i="1"/>
  <c r="AD880" i="1"/>
  <c r="AD895" i="1"/>
  <c r="AD868" i="1"/>
  <c r="AD863" i="1"/>
  <c r="AD958" i="1"/>
  <c r="AD867" i="1"/>
  <c r="AD954" i="1"/>
  <c r="AD896" i="1"/>
  <c r="AD928" i="1"/>
  <c r="AD854" i="1"/>
  <c r="AD916" i="1"/>
  <c r="AD921" i="1"/>
  <c r="AD909" i="1"/>
  <c r="AD912" i="1"/>
  <c r="AD937" i="1"/>
  <c r="AD938" i="1"/>
  <c r="AD952" i="1"/>
  <c r="AD925" i="1"/>
  <c r="AD885" i="1"/>
  <c r="AD960" i="1"/>
  <c r="AD932" i="1"/>
  <c r="AD887" i="1"/>
  <c r="AD911" i="1"/>
  <c r="AD951" i="1"/>
  <c r="AD875" i="1"/>
  <c r="AD923" i="1"/>
  <c r="AD905" i="1"/>
  <c r="AD926" i="1"/>
  <c r="AD893" i="1"/>
  <c r="AD884" i="1"/>
  <c r="AD892" i="1"/>
  <c r="AD936" i="1"/>
  <c r="AD904" i="1"/>
  <c r="AD870" i="1"/>
  <c r="AD894" i="1"/>
  <c r="AD876" i="1"/>
  <c r="AD962" i="1"/>
  <c r="AD886" i="1"/>
  <c r="AD881" i="1"/>
  <c r="AD871" i="1"/>
  <c r="AD882" i="1"/>
  <c r="AD878" i="1"/>
  <c r="AD918" i="1"/>
  <c r="AD869" i="1"/>
  <c r="AD855" i="1"/>
  <c r="AD853" i="1"/>
  <c r="AD941" i="1"/>
  <c r="AD913" i="1"/>
  <c r="AD877" i="1"/>
  <c r="AD872" i="1"/>
  <c r="AD873" i="1"/>
  <c r="AD946" i="1"/>
  <c r="AD947" i="1"/>
  <c r="AD948" i="1"/>
  <c r="AD949" i="1"/>
  <c r="AD950" i="1"/>
  <c r="AD931" i="1"/>
  <c r="AD924" i="1"/>
  <c r="AD940" i="1"/>
  <c r="AD865" i="1"/>
  <c r="AD920" i="1"/>
  <c r="AD955" i="1"/>
  <c r="AD933" i="1"/>
  <c r="AD900" i="1"/>
  <c r="AD888" i="1"/>
  <c r="AD915" i="1"/>
  <c r="AD929" i="1"/>
  <c r="AD930" i="1"/>
  <c r="AD862" i="1"/>
  <c r="AD908" i="1"/>
  <c r="AD961" i="1"/>
  <c r="AD902" i="1"/>
  <c r="AD864" i="1"/>
  <c r="AD959" i="1"/>
  <c r="AD927" i="1"/>
  <c r="AD942" i="1"/>
  <c r="AD889" i="1"/>
  <c r="AD944" i="1"/>
  <c r="AD919" i="1"/>
  <c r="AD934" i="1"/>
  <c r="AD874" i="1"/>
  <c r="AD898" i="1"/>
  <c r="AD856" i="1"/>
  <c r="AD899" i="1"/>
  <c r="AD903" i="1"/>
  <c r="AD914" i="1"/>
  <c r="AD852" i="1"/>
  <c r="AD956" i="1"/>
  <c r="AD953" i="1"/>
  <c r="AD861" i="1"/>
  <c r="AD943" i="1"/>
  <c r="AD857" i="1"/>
  <c r="AD957" i="1"/>
  <c r="AD879" i="1"/>
  <c r="AD851" i="1"/>
  <c r="AD883" i="1"/>
  <c r="AD860" i="1"/>
  <c r="AD935" i="1"/>
  <c r="AD945" i="1"/>
  <c r="AD901" i="1"/>
  <c r="AD922" i="1"/>
  <c r="AD890" i="1"/>
  <c r="AD891" i="1"/>
  <c r="AD858" i="1"/>
  <c r="AD910" i="1"/>
  <c r="AD907" i="1"/>
  <c r="AD939" i="1"/>
  <c r="AD866" i="1"/>
  <c r="AD906" i="1"/>
  <c r="AD897" i="1"/>
  <c r="AD917" i="1"/>
  <c r="AD963" i="1"/>
  <c r="AD964" i="1"/>
  <c r="AD965" i="1"/>
  <c r="AD966" i="1"/>
  <c r="AD967" i="1"/>
  <c r="AD968" i="1"/>
  <c r="AD969" i="1"/>
  <c r="AD970" i="1"/>
  <c r="AD971" i="1"/>
  <c r="AD972" i="1"/>
  <c r="AD973" i="1"/>
  <c r="AD974" i="1"/>
  <c r="AD975" i="1"/>
  <c r="AD976" i="1"/>
  <c r="AD977" i="1"/>
  <c r="AD978" i="1"/>
  <c r="AD979" i="1"/>
  <c r="AD980" i="1"/>
  <c r="AD981" i="1"/>
  <c r="AD982" i="1"/>
  <c r="AD983" i="1"/>
  <c r="AD984" i="1"/>
  <c r="AD985" i="1"/>
  <c r="AD986" i="1"/>
  <c r="AD987" i="1"/>
  <c r="AD988" i="1"/>
  <c r="AD989" i="1"/>
  <c r="AD990" i="1"/>
  <c r="AD991" i="1"/>
  <c r="AD992" i="1"/>
  <c r="AD993" i="1"/>
  <c r="AD994" i="1"/>
  <c r="AD995" i="1"/>
  <c r="AD996" i="1"/>
  <c r="AD997" i="1"/>
  <c r="AD998" i="1"/>
  <c r="AD999" i="1"/>
  <c r="AD1000" i="1"/>
  <c r="AD1001" i="1"/>
  <c r="AD1002" i="1"/>
  <c r="AD1003" i="1"/>
  <c r="AD1004" i="1"/>
  <c r="AD1005" i="1"/>
  <c r="AD1006" i="1"/>
  <c r="AD1007" i="1"/>
  <c r="AD1008" i="1"/>
  <c r="AD1009" i="1"/>
  <c r="AD1010" i="1"/>
  <c r="AD1011" i="1"/>
  <c r="AD1012" i="1"/>
  <c r="AD1013" i="1"/>
  <c r="AD1014" i="1"/>
  <c r="AD1015" i="1"/>
  <c r="AD1016" i="1"/>
  <c r="AD1017" i="1"/>
  <c r="AD1018" i="1"/>
  <c r="AD1019" i="1"/>
  <c r="AD1020" i="1"/>
  <c r="AD1021" i="1"/>
  <c r="AD1022" i="1"/>
  <c r="AD1025" i="1"/>
  <c r="AD1026" i="1"/>
  <c r="AD1027" i="1"/>
  <c r="AD1028" i="1"/>
  <c r="AD1031" i="1"/>
  <c r="AD1032" i="1"/>
  <c r="AD1033" i="1"/>
  <c r="AD1034" i="1"/>
  <c r="AD1035" i="1"/>
  <c r="AD1036" i="1"/>
  <c r="AD1037" i="1"/>
  <c r="AD1038" i="1"/>
  <c r="AD1039" i="1"/>
  <c r="AD1040" i="1"/>
  <c r="AD1041" i="1"/>
  <c r="AD1042" i="1"/>
  <c r="AD1043" i="1"/>
  <c r="AD1044" i="1"/>
  <c r="AD1045" i="1"/>
  <c r="AD1046" i="1"/>
  <c r="AD1047" i="1"/>
  <c r="AD1048" i="1"/>
  <c r="AD1049" i="1"/>
  <c r="AD1050" i="1"/>
  <c r="AD1051" i="1"/>
  <c r="AD1052" i="1"/>
  <c r="AD1053" i="1"/>
  <c r="AD1054" i="1"/>
  <c r="AD1055" i="1"/>
  <c r="AD1056" i="1"/>
  <c r="AD1057" i="1"/>
  <c r="AD1058" i="1"/>
  <c r="AD1059" i="1"/>
  <c r="AD1060" i="1"/>
  <c r="AD1061" i="1"/>
  <c r="AD1062" i="1"/>
  <c r="AD1063" i="1"/>
  <c r="AD1065" i="1"/>
  <c r="AD1066" i="1"/>
  <c r="AD1068" i="1"/>
  <c r="AD1069" i="1"/>
  <c r="AD1070" i="1"/>
  <c r="AD1071" i="1"/>
  <c r="AD1072" i="1"/>
  <c r="AD1073" i="1"/>
  <c r="AD1074" i="1"/>
  <c r="AD1075" i="1"/>
  <c r="AD1076" i="1"/>
  <c r="AD1077" i="1"/>
  <c r="AD1078" i="1"/>
  <c r="AD1029" i="1"/>
  <c r="AD1030" i="1"/>
  <c r="AD1151" i="1"/>
  <c r="AD1152" i="1"/>
  <c r="AD1137" i="1"/>
  <c r="AD1113" i="1"/>
  <c r="AD1153" i="1"/>
  <c r="AD1154" i="1"/>
  <c r="AD1111" i="1"/>
  <c r="AD1155" i="1"/>
  <c r="AD1112" i="1"/>
  <c r="AD1108" i="1"/>
  <c r="AD1116" i="1"/>
  <c r="AD1090" i="1"/>
  <c r="AD1156" i="1"/>
  <c r="AD1157" i="1"/>
  <c r="AD1099" i="1"/>
  <c r="AD1158" i="1"/>
  <c r="AD1159" i="1"/>
  <c r="AD1160" i="1"/>
  <c r="AD1161" i="1"/>
  <c r="AD1162" i="1"/>
  <c r="AD1084" i="1"/>
  <c r="AD1086" i="1"/>
  <c r="AD1082" i="1"/>
  <c r="AD1100" i="1"/>
  <c r="AD1141" i="1"/>
  <c r="AD1163" i="1"/>
  <c r="AD1093" i="1"/>
  <c r="AD1120" i="1"/>
  <c r="AD1124" i="1"/>
  <c r="AD437" i="1"/>
  <c r="AD1023" i="1"/>
  <c r="AD1024" i="1"/>
  <c r="AD1067" i="1"/>
  <c r="AD1166" i="1"/>
  <c r="AD1094" i="1"/>
  <c r="AD1164" i="1"/>
  <c r="AD1147" i="1"/>
  <c r="AD1106" i="1"/>
  <c r="AD1165" i="1"/>
  <c r="AD1103" i="1"/>
  <c r="AD1121" i="1"/>
  <c r="AD1081" i="1"/>
  <c r="AD1097" i="1"/>
  <c r="AD1167" i="1"/>
  <c r="AD1142" i="1"/>
  <c r="AD1079" i="1"/>
  <c r="AD1085" i="1"/>
  <c r="AD1092" i="1"/>
  <c r="AD1080" i="1"/>
  <c r="AD1136" i="1"/>
  <c r="AD1109" i="1"/>
  <c r="AD1171" i="1"/>
  <c r="AD1101" i="1"/>
  <c r="AD1172" i="1"/>
  <c r="AD1133" i="1"/>
  <c r="AD1149" i="1"/>
  <c r="AD1091" i="1"/>
  <c r="AD1173" i="1"/>
  <c r="AD1102" i="1"/>
  <c r="AD1168" i="1"/>
  <c r="AD1169" i="1"/>
  <c r="AD1170" i="1"/>
  <c r="AD1135" i="1"/>
  <c r="AD1174" i="1"/>
  <c r="AD1114" i="1"/>
  <c r="AD1175" i="1"/>
  <c r="L1174" i="1"/>
  <c r="L1142" i="1"/>
  <c r="L1167" i="1"/>
  <c r="W1103" i="1"/>
  <c r="W1084" i="1"/>
  <c r="L1084" i="1"/>
  <c r="I1099" i="1"/>
  <c r="L1112" i="1"/>
  <c r="W1077" i="1"/>
  <c r="W1074" i="1"/>
  <c r="W1073" i="1"/>
  <c r="I1073" i="1"/>
  <c r="L1072" i="1"/>
  <c r="L1070" i="1"/>
  <c r="W1059" i="1"/>
  <c r="W1055" i="1"/>
  <c r="W1054" i="1"/>
  <c r="W1049" i="1"/>
  <c r="L1032" i="1"/>
  <c r="J1032" i="1"/>
  <c r="L1031" i="1"/>
  <c r="W1028" i="1"/>
  <c r="W1027" i="1"/>
  <c r="I1027" i="1"/>
  <c r="W1026" i="1"/>
  <c r="W1017" i="1"/>
  <c r="W1010" i="1"/>
  <c r="W1003" i="1"/>
  <c r="L995" i="1"/>
  <c r="W980" i="1"/>
  <c r="W972" i="1"/>
  <c r="W939" i="1"/>
  <c r="W901" i="1"/>
  <c r="W945" i="1"/>
  <c r="W935" i="1"/>
  <c r="W953" i="1"/>
  <c r="W899" i="1"/>
  <c r="W942" i="1"/>
  <c r="W864" i="1"/>
  <c r="W908" i="1"/>
  <c r="W862" i="1"/>
  <c r="W915" i="1"/>
  <c r="L888" i="1"/>
  <c r="W924" i="1"/>
  <c r="W941" i="1"/>
  <c r="W871" i="1"/>
  <c r="W881" i="1"/>
  <c r="W894" i="1"/>
  <c r="W870" i="1"/>
  <c r="L893" i="1"/>
  <c r="W905" i="1"/>
  <c r="I960" i="1"/>
  <c r="W921" i="1"/>
  <c r="L921" i="1"/>
  <c r="J854" i="1"/>
  <c r="L958" i="1"/>
  <c r="W868" i="1"/>
  <c r="W849" i="1"/>
  <c r="J841" i="1"/>
  <c r="W834" i="1"/>
  <c r="W827" i="1"/>
  <c r="W821" i="1"/>
  <c r="L816" i="1"/>
  <c r="W812" i="1"/>
  <c r="W810" i="1"/>
  <c r="W808" i="1"/>
  <c r="W804" i="1"/>
  <c r="W797" i="1"/>
  <c r="I790" i="1"/>
  <c r="I778" i="1"/>
  <c r="W768" i="1"/>
  <c r="W763" i="1"/>
  <c r="W762" i="1"/>
  <c r="J758" i="1"/>
  <c r="W753" i="1"/>
  <c r="W737" i="1"/>
  <c r="L726" i="1"/>
  <c r="J716" i="1"/>
  <c r="L713" i="1"/>
  <c r="L706" i="1"/>
  <c r="L699" i="1"/>
  <c r="L683" i="1"/>
  <c r="W643" i="1"/>
  <c r="I596" i="1"/>
  <c r="W595" i="1"/>
  <c r="W592" i="1"/>
  <c r="W590" i="1"/>
  <c r="I492" i="1"/>
  <c r="W481" i="1"/>
  <c r="W475" i="1"/>
  <c r="W470" i="1"/>
  <c r="L466" i="1"/>
  <c r="I439" i="1"/>
  <c r="W432" i="1"/>
  <c r="I432" i="1"/>
  <c r="W366" i="1"/>
  <c r="W334" i="1"/>
  <c r="L288" i="1"/>
  <c r="W276" i="1"/>
  <c r="W261" i="1"/>
  <c r="L232" i="1"/>
</calcChain>
</file>

<file path=xl/sharedStrings.xml><?xml version="1.0" encoding="utf-8"?>
<sst xmlns="http://schemas.openxmlformats.org/spreadsheetml/2006/main" count="17139" uniqueCount="5602">
  <si>
    <t>Quarter</t>
  </si>
  <si>
    <t>Date of Announcement</t>
  </si>
  <si>
    <t>Account Name</t>
  </si>
  <si>
    <t>City</t>
  </si>
  <si>
    <t>County</t>
  </si>
  <si>
    <t>State</t>
  </si>
  <si>
    <t>Business News Summary</t>
  </si>
  <si>
    <t>Facility Type</t>
  </si>
  <si>
    <t>Investment</t>
  </si>
  <si>
    <t>New Jobs - Non Construction</t>
  </si>
  <si>
    <t>Retained Jobs</t>
  </si>
  <si>
    <t>New Square Feet</t>
  </si>
  <si>
    <t>Industry</t>
  </si>
  <si>
    <t>Sector</t>
  </si>
  <si>
    <t>Source Link</t>
  </si>
  <si>
    <t>Source</t>
  </si>
  <si>
    <t>Street</t>
  </si>
  <si>
    <t>Zip/Postal Code</t>
  </si>
  <si>
    <t>Latitude</t>
  </si>
  <si>
    <t>Longitude</t>
  </si>
  <si>
    <t>Type of Investment</t>
  </si>
  <si>
    <t>Govt Fin. Asst Names</t>
  </si>
  <si>
    <t>Total Grant/Loan Awards</t>
  </si>
  <si>
    <t>Foreign Company Activity</t>
  </si>
  <si>
    <t>Parent Account Name</t>
  </si>
  <si>
    <t>Parent City</t>
  </si>
  <si>
    <t>Parent State/Province</t>
  </si>
  <si>
    <t>Parent Country</t>
  </si>
  <si>
    <t>Region</t>
  </si>
  <si>
    <t>Year</t>
  </si>
  <si>
    <t>2018-Q1</t>
  </si>
  <si>
    <t>Carris Health</t>
  </si>
  <si>
    <t>Willmar</t>
  </si>
  <si>
    <t>Kandiyohi</t>
  </si>
  <si>
    <t>MN</t>
  </si>
  <si>
    <t>St. Cloud-based CentraCare Health, physician group ACMC Health and Rice Memorial Hospital in Willmar, Minn., created the venture, called Carris Health. The organization launched effective Jan. 1, according to a news release, and is a CentraCare subsidiary. The City of Willmar remains owner of Rice Memorial, which will receive a $32 million investment from Carris over the next decade. Carris will employ more than 2,400 people, including Rice Memorial's staff of 1,350.</t>
  </si>
  <si>
    <t>Healthcare Facility</t>
  </si>
  <si>
    <t>Health Care, Social Assist</t>
  </si>
  <si>
    <t>https://www.bizjournals.com/twincities/news/2018/01/02/deal-that-creates-new-minnesota-health-system.html</t>
  </si>
  <si>
    <t>CentraCare Health</t>
  </si>
  <si>
    <t>St Cloud</t>
  </si>
  <si>
    <t>Central</t>
  </si>
  <si>
    <t>Lift Bridge Brewing Company</t>
  </si>
  <si>
    <t>Stillwater</t>
  </si>
  <si>
    <t>Washington</t>
  </si>
  <si>
    <t>Lift Bridge Brewing Co., the seventh-largest brewer in Minnesota, is planning a $10 million new headquarters facility to accommodate its growth. Current facility is 15,000 SF which would be leased out or sold. The new headquarters would be about 35,000 square feet and include a new taproom, event space, packaging line and fermentation equipment. The expansion will create 23 full-time jobs over the next 10 years,</t>
  </si>
  <si>
    <t>Headquarters; Manufacturing</t>
  </si>
  <si>
    <t>Food, Beverage</t>
  </si>
  <si>
    <t>Manufacturing</t>
  </si>
  <si>
    <t>https://www.bizjournals.com/twincities/news/2018/01/02/one-of-minnesotas-largest-breweries-is-planning-to.html</t>
  </si>
  <si>
    <t>1900 Tower Dr W</t>
  </si>
  <si>
    <t>Metro</t>
  </si>
  <si>
    <t>Nypro</t>
  </si>
  <si>
    <t>Chaska</t>
  </si>
  <si>
    <t>Carver</t>
  </si>
  <si>
    <t>Jabil is a multinational company (based in St. Petersburg, FL) that focuses on technologically advances manufacturing solutions. They are seeking to establish a presence in Chaska of their subsidiary, Nypro. Nypro offers healthcare customers a wide array of design and manufacturing capabilities. Jabil has established a lease agreement at 102 Jonathan Blvd. to expand its global polymer research function creating up to 40 new high earning positions for the first time to Minnesota. MIF $210,000.</t>
  </si>
  <si>
    <t>Manufacturing; Research &amp; Dev</t>
  </si>
  <si>
    <t>Plastics, Rubber</t>
  </si>
  <si>
    <t>http://mn-chaska.civicplus.com/AgendaCenter/ViewFile/Item/3001?fileID=8714</t>
  </si>
  <si>
    <t>102 Jonathan Blvd</t>
  </si>
  <si>
    <t>Government Financing</t>
  </si>
  <si>
    <t>Jabil</t>
  </si>
  <si>
    <t>St Petersburg</t>
  </si>
  <si>
    <t>FL</t>
  </si>
  <si>
    <t>ModernWell</t>
  </si>
  <si>
    <t>Minneapolis</t>
  </si>
  <si>
    <t>Hennepin</t>
  </si>
  <si>
    <t>ModernWell, a new co-working space designed specifically for women, opened its doors Tuesday in Minneapolis. Located at 2909 South Wayzata Blvd. The 5,200 square-foot building features private offices, conference rooms, a podcast studio, as well as some spaces not dedicated for work like a massage room, yoga studio, and a wellness and relaxation area.</t>
  </si>
  <si>
    <t>Headquarters</t>
  </si>
  <si>
    <t>Real Estate, Leasing</t>
  </si>
  <si>
    <t>http://www.startribune.com/women-centered-co-working-space-opens-in-minneapolis/467909043/</t>
  </si>
  <si>
    <t>2909 South Wayzata Blvd</t>
  </si>
  <si>
    <t>FedEx</t>
  </si>
  <si>
    <t>South St Paul</t>
  </si>
  <si>
    <t>Dakota</t>
  </si>
  <si>
    <t>The South St. Paul EDA was awarded $1.26 million in cleanup funds for a 36.5-acre site contaminated with petroleum and other pollutants. Matching cleanup costs will be paid by the developer, Indiana-based Scannell Properties, and other grant sources. Scannell plans to buy the site from Danner Inc., and break ground in the spring. A 270,000-square-foot FedEx distribution center is planned. The project will create 86 jobs, retain 35 jobs.</t>
  </si>
  <si>
    <t>Distribution Center</t>
  </si>
  <si>
    <t>Transportation</t>
  </si>
  <si>
    <t>https://www.twincities.com/2018/01/04/south-st-paul-lands-1-2-million-cleanup-grant-for-new-fedex-site/; https://content.govdelivery.com/accounts/MNDEED/bulletins/1d0a471</t>
  </si>
  <si>
    <t>843 Hardman Ave</t>
  </si>
  <si>
    <t>Federal Express Corporation Inc</t>
  </si>
  <si>
    <t>Memphis</t>
  </si>
  <si>
    <t>TN</t>
  </si>
  <si>
    <t>SPS Commerce</t>
  </si>
  <si>
    <t>SPS Commerce Inc. will expand its presence in downtown's 333 South Seventh Street in a deal that also comes with naming rights for the 33-story tower, to be renamed SPS Tower. The supply chain management software company now occupies seven floors and about 168,000 square feet in the tower. The new lease expands that footprint to nine floors and 216,000 square feet over the next two years. SPS's lease was set to expire in 2020, but has been extended to 2025.</t>
  </si>
  <si>
    <t>Computer Programming</t>
  </si>
  <si>
    <t>Professional Services</t>
  </si>
  <si>
    <t>https://www.bizjournals.com/twincities/news/2018/01/04/downtown-s-333-south-seventh-will-be-renamed-sps.html</t>
  </si>
  <si>
    <t>333 S Seventh St Ste 1000</t>
  </si>
  <si>
    <t>IPS Cranes</t>
  </si>
  <si>
    <t>Duluth</t>
  </si>
  <si>
    <t>St Louis</t>
  </si>
  <si>
    <t>"The Duluth EDA has received a $50,000 contamination cleanup and investigation grant on behalf of IPS Cranes in the Waseca Industrial Park to investigate a 24.9 acre site for the company's planned expansion. The plans for expansion include a 30,000-square-foot industrial building and 17 new jobs, according to DEED. The expansion is expected to increase the tax base by $65,770, according to DEED. The company will pay the match for the grant.</t>
  </si>
  <si>
    <t>Machinery</t>
  </si>
  <si>
    <t>https://www.duluthnewstribune.com/business/4385495-duluth-business-receives-state-funding; also https://content.govdelivery.com/accounts/MNDEED/bulletins/1d0a471</t>
  </si>
  <si>
    <t>530 S 59th Ave W</t>
  </si>
  <si>
    <t>St Paul</t>
  </si>
  <si>
    <t>North</t>
  </si>
  <si>
    <t>Smart Care Equipment Solutions</t>
  </si>
  <si>
    <t>Ramsey</t>
  </si>
  <si>
    <t>A former subsidiary of Ecolab is planning to invest millions of dollars over the next several years to become a much larger player in the commercial kitchen and appliance maintenance industry. Smart Care Equipment Solutions, a 900-employee business that changed its name from Ecolab Equipment Care this week, was sold by St. Paul-based Ecolab Inc. last October to Boston's Audax Private Equity. In 2016, Equipment Care generated $180 million in revenue and would likely hire more technicians.</t>
  </si>
  <si>
    <t>Office (Non-HQ)</t>
  </si>
  <si>
    <t>Repair, Maintenance</t>
  </si>
  <si>
    <t>Other Services</t>
  </si>
  <si>
    <t>https://www.bizjournals.com/twincities/news/2018/01/11/former-ecolab-subsidiary-is-moving-out-with-big.html</t>
  </si>
  <si>
    <t>Osborn370 370 Wabasha St N</t>
  </si>
  <si>
    <t>Sportsdigita</t>
  </si>
  <si>
    <t>"Tech company Sportsdigita will ramp up hiring after closing on a round of funding led by Peak6 Sports, a Chicago-based venture capital firm. Sportsdigita has about 26 employees and Lawton expects that number to grow to about 40 by the end of the year. Minneapolis-based Sportsdigita makes Digideck, a software application that sports teams use to create and share sales pitches with prospective digital sponsors.</t>
  </si>
  <si>
    <t>https://www.bizjournals.com/twincities/news/2018/01/18/spots-tech-startup-sportsdigita-to-expand-after.html</t>
  </si>
  <si>
    <t>3033 Excelsior Blvd Ste 470</t>
  </si>
  <si>
    <t>Kerry Bio-Science</t>
  </si>
  <si>
    <t>Rochester</t>
  </si>
  <si>
    <t>Olmsted</t>
  </si>
  <si>
    <t>The City of Rochester is seeking approximately $220,000 to assist with the expansion of Kerry Biofunctional Ingredients Inc. $220,000 MIF award.</t>
  </si>
  <si>
    <t>n/a</t>
  </si>
  <si>
    <t>2402 7th St NW</t>
  </si>
  <si>
    <t>y</t>
  </si>
  <si>
    <t>Kerry Group</t>
  </si>
  <si>
    <t>Tralee</t>
  </si>
  <si>
    <t>Ireland</t>
  </si>
  <si>
    <t>South</t>
  </si>
  <si>
    <t>Midwest DryCast</t>
  </si>
  <si>
    <t>Luverne</t>
  </si>
  <si>
    <t>Rock</t>
  </si>
  <si>
    <t>Midwest Dry Cast will break ground this spring on a 100-by-250-foot $1.75 million manufacturing building south of Luverne.... (brief info from Star Herald). Midwest DryCast is excited to announce we will be coming to Luverne, MN Spring of 2018! We will be offering drycast concrete agricultural slats. We are currently hiring. (from Facebook page). Received $176,750 from MN Job Creation Fund.</t>
  </si>
  <si>
    <t>Nonmetallic Minerals</t>
  </si>
  <si>
    <t>http://www.star-herald.com/news/midwest-dry-cast-start-production-summer-south-luverne</t>
  </si>
  <si>
    <t>Hwy 75</t>
  </si>
  <si>
    <t>Heliene</t>
  </si>
  <si>
    <t>Mountain Iron</t>
  </si>
  <si>
    <t>The operator of an Iron Range solar panel plant this week received the final piece of a $3.5 million loan package from the state, allowing it go ahead with an expansion. But its new operator, Heliene Inc., plans to use state loans to help fund a complete equipment refurbishment. Employment, now minimal, is expected to rise to 50 workers by July, said Heliene?s president Martin Pochtaruk. IRRRB approved a $1.75 m loan to Heliene, DEED awarded 1.75 m loan. Up to $1m forgiven if 70 jobs in 4 years</t>
  </si>
  <si>
    <t>MF</t>
  </si>
  <si>
    <t>Electrical Equipment</t>
  </si>
  <si>
    <t>http://www.startribune.com/loan-approved-for-operator-of-iron-range-solar-plant/471176863/</t>
  </si>
  <si>
    <t>8787 Silicon Way</t>
  </si>
  <si>
    <t>Sault Ste Marie</t>
  </si>
  <si>
    <t>ON</t>
  </si>
  <si>
    <t>CANADA</t>
  </si>
  <si>
    <t>Upsie</t>
  </si>
  <si>
    <t>Tech startup Upsie has closed on a $1.7 million round of funding led by an investor group that includes Techstars Ventures. The Minneapolis-based company plans to put the capital toward hiring between six and 10 more employees, said founder and CEO Clarence Bethea. The company, which has seven employees today, is also seeking to hire a chief operating officer. Upsie makes a mobile app that lets consumers compare, buy and track extended-service warranty plans.</t>
  </si>
  <si>
    <t>Finance, Insurance</t>
  </si>
  <si>
    <t>https://www.bizjournals.com/twincities/news/2018/01/30/tech-startup-upsie-lands-1-7m-to-ramp-up-hiring.html</t>
  </si>
  <si>
    <t>2829 University Ave SE Ste 750</t>
  </si>
  <si>
    <t>Venture Capital</t>
  </si>
  <si>
    <t>Safco Products Company</t>
  </si>
  <si>
    <t>New Hope</t>
  </si>
  <si>
    <t>43 Projected new jobs, $1.1 million projected investment. JCF award of $409,000. (No other detail available.)</t>
  </si>
  <si>
    <t>Office (Non-HQ); Manufacturing; Distribution Center</t>
  </si>
  <si>
    <t>Furniture</t>
  </si>
  <si>
    <t>9300 Research Center Rd W</t>
  </si>
  <si>
    <t>Liberty Diversified International</t>
  </si>
  <si>
    <t>University Enterprise Laboratories</t>
  </si>
  <si>
    <t>University Enterprise Laboratories Planning 1 $6M building expansion in St Paul. The nonprofit University Enterprise Laboratories is planning an 18,000-square-foot addition onto its existing 125,000-square-foot building at 1000 Westgate Drive in St. Paul's Midway neighborhood.</t>
  </si>
  <si>
    <t>Headquarters; Research &amp; Dev</t>
  </si>
  <si>
    <t>Research, Development</t>
  </si>
  <si>
    <t>http://bit.ly/2BHDl2n</t>
  </si>
  <si>
    <t>1000 Westgate Dr</t>
  </si>
  <si>
    <t>Accenture Limited</t>
  </si>
  <si>
    <t>Professional services and consulting firm Accenture announced Friday it plans to hire 400 employees in the Twin Cities by the end of 2020. The Dublin-based firm said the hiring would equate to a 25 percent increase in its Twin Cities staffing level, which is currently at 1,600 people. Accenture North America CEO Julie Sweet said the expansion is not in response to any major new contract in town. Rather it's part of a larger national expansion plan meant to keep up with demand.</t>
  </si>
  <si>
    <t>Business Consulting</t>
  </si>
  <si>
    <t>https://www.bizjournals.com/twincities/news/2018/02/02/accenture-will-hire-hundreds-in-minneapolis-as-it.html</t>
  </si>
  <si>
    <t>333 S 7th St</t>
  </si>
  <si>
    <t>Accenture plc</t>
  </si>
  <si>
    <t>Dublin</t>
  </si>
  <si>
    <t>Caisson Interventional</t>
  </si>
  <si>
    <t>Maple Grove</t>
  </si>
  <si>
    <t>Maple Grove-based Caisson Interventional, a medical device firm that specializes in heart valves, is expanding its facility by 30,000 square feet over the next few months with plans to add 50 jobs. Caisson received a $359,850 grant to help fund the expansion from Minnesota DEED, and is privately investing $750,000, according to a Tuesday announcement. Caisson purchased an existing building in Maple Grove and is making modifications.</t>
  </si>
  <si>
    <t>Medical</t>
  </si>
  <si>
    <t>http://www.startribune.com/caisson-interventional-plans-expansion-in-maple-grove-gets-360k-in-help-from-deed/473005343/</t>
  </si>
  <si>
    <t>6500 Wedgewood Road North</t>
  </si>
  <si>
    <t>LivaNova</t>
  </si>
  <si>
    <t>London</t>
  </si>
  <si>
    <t>United Kingdom</t>
  </si>
  <si>
    <t>Protolabs</t>
  </si>
  <si>
    <t>Brooklyn Park</t>
  </si>
  <si>
    <t>Proto Labs is contemplating moving its Plymouth manufacturing facility to Brooklyn Park. Proto Labs will acquire and renovate a 152,000-square-foot building at 8500 Wyoming Ave. N. in Brooklyn Park. it would embark on a $10 million renovation and expansion, adding 50,000 SF to the structure and investing $3.5m in equipment for the new facility. Total project cost $29.9 million. April 2018 Update: The state awarded $850,000 from the Job Creation Fund</t>
  </si>
  <si>
    <t>http://www.costar.com/News/Article/Proto-Labs-Considering-Move-to-Brooklyn-Park/198093</t>
  </si>
  <si>
    <t>8500 Wyoming Ave N</t>
  </si>
  <si>
    <t>Proto Labs Inc</t>
  </si>
  <si>
    <t>Maple Plain</t>
  </si>
  <si>
    <t>Jarraff Industries Inc</t>
  </si>
  <si>
    <t>St Peter</t>
  </si>
  <si>
    <t>Nicollet</t>
  </si>
  <si>
    <t>Jarraff Industries recently broke ground on a 20,000-square-foot addition to its main assembly building, which will add three new manufacturing lines, as many as 30 new jobs when completed late in 2018, and 2 new buildings -- 10,000-square-foot parts and service building, as well as a 5,000-square-foot finished machine storage facility. "Our big goal is to double our production by 2020."</t>
  </si>
  <si>
    <t>https://jarraff.com/press-releases/jarraff-industries-breaks-ground-expansion/ AND http://www.mankatofreepress.com/news/st-peter-s-jarraff-industries-hopes-to-double-production/article_23bf2eea-10ff-11e8-a9fa-836b6a288dfa.html</t>
  </si>
  <si>
    <t>1730 Gault St</t>
  </si>
  <si>
    <t>Abbott Northwestern Hospital</t>
  </si>
  <si>
    <t>Abbott Northwestern Hospital is planning to build a $29.2 neuroscience unit within the next two years, becoming the latest Twin Cities health provider to place a big bet on a growing market for the medical field. Abbott Northwestern is owned by Allina Health System. Allina would provide most of the funding, with about $7.5 million coming through other nonprofits. The project, which would include 56 inpatient beds, would occupy about 42,200 square feet of unused space in an existing A/N building.</t>
  </si>
  <si>
    <t>Other</t>
  </si>
  <si>
    <t>https://www.bizjournals.com/twincities/news/2018/02/16/abbott-northwestern-plans-29m-neuroscience-unit.html</t>
  </si>
  <si>
    <t>800 E 28th St</t>
  </si>
  <si>
    <t>Norway House</t>
  </si>
  <si>
    <t>The business and cultural backers behind Norway House are planning a $10 million-plus expansion on a once-dilapidated block on the near South Side into what essentially will be the campus of the National Norwegian Center in America, including a Norwegian-Lutheran church. They plan to break ground in 2020 on an event center and banquet hall to replace vacant structures/houses. Lobbied 2017 MN Legislature for $5 million in bonds, will be matched by $5 million in private contributions.</t>
  </si>
  <si>
    <t>Other Advocacy, Social Org</t>
  </si>
  <si>
    <t>http://www.startribune.com/the-expanded-national-norwegian-center-in-america-takes-shape-in-minneapolis/474216733/</t>
  </si>
  <si>
    <t>913 E Franklin Ave</t>
  </si>
  <si>
    <t>Minnesota Industrial Battery</t>
  </si>
  <si>
    <t>Roseville</t>
  </si>
  <si>
    <t>New owner Kris Palestrini and his wife, Erin, have invested in employees and infrastructure at the company, which her father started in 1982. They?ve remade the Minnesota Industrial Battery website, rebranded the company and developed marketing materials. Minnesota Industrial Battery sells, services and maintains batteries for forklifts and lift trucks in Minnesota and neighboring states. He is looking to buy additional warehouse space in Roseville.</t>
  </si>
  <si>
    <t>Headquarters; Other</t>
  </si>
  <si>
    <t>https://finance-commerce.com/2018/02/next-generation-ownership-recharges-battery-company/</t>
  </si>
  <si>
    <t>2620 Cleveland Ave N</t>
  </si>
  <si>
    <t>Medical Equipment Solutions</t>
  </si>
  <si>
    <t>Eagan</t>
  </si>
  <si>
    <t>Purair is expanding to Minnesota and signing a 5-year lease on a 10,000 square foot building and expects to hire 10 FTE in Eagan within two years with an average hourly wage of $22.10. Purair Products, Inc. is a medical-grade oxygen supplier based in Kansas City. They supply liquid and gas oxygen to patients and nursing homes, and are expanding to a hospital chain in the Kansas City area. Received MIF loan of $200,000 from State of MN.</t>
  </si>
  <si>
    <t>http://eagan.granicus.com/MetaViewer.php?view_id=8&amp;clip_id=1829&amp;meta_id=86939</t>
  </si>
  <si>
    <t>909 Apollo Dr</t>
  </si>
  <si>
    <t>PurAir Products Inc</t>
  </si>
  <si>
    <t>North Kansas City</t>
  </si>
  <si>
    <t>MO</t>
  </si>
  <si>
    <t>Glen Nelson Center</t>
  </si>
  <si>
    <t>American Public Media, parent of Minnesota Public Radio and NPR, is launching a startup incubator and innovation center in downtown St. Paul later this year. APM plans to open the Glen Nelson Center, a 10,000-square-foot shared workspace.</t>
  </si>
  <si>
    <t>https://www.bizjournals.com/twincities/news/2018/02/21/mpr-parent-launching-incubator-co-working-space-in.html</t>
  </si>
  <si>
    <t>370 Wabasha St N Ste 500</t>
  </si>
  <si>
    <t>Sezzle</t>
  </si>
  <si>
    <t>"Two Minneapolis companies are teaming up to help e-commerce sites. Sezzle, started in 2016, and CartStack, started about five years ago, both seek to tap an expanding market of online sellers. Sezzle's product, an online payment plan, splits a customer's order total from a participating e-commerce site into four installments without charging the customer interest or fees. CartStack offers marketing strategies to e-commerce. Hope to double Sezzle's 15 FT and PT employees in coming 12 months.</t>
  </si>
  <si>
    <t>http://www.startribune.com/minneapolis-companies-sezzle-and-cartstack-seek-growth-through-partnership/474999273/</t>
  </si>
  <si>
    <t>1516 W Lake St</t>
  </si>
  <si>
    <t>Modern Automotive Performance</t>
  </si>
  <si>
    <t>Cottage Grove</t>
  </si>
  <si>
    <t>Modern Automotive Performance, an aftermarket automotive products distributor that manufactures parts for specific vehicles, is based in Cottage Grove. It will invest $1.6 million and create 21 jobs in an expansion of its facilities. It currently has 44 employees. The company will build a 24,000-square-foot addition to its current 20,000 SF building. The new jobs will pay wages averaging $15.67 an hour. DEED award of $135,013 from Job Creation Fund in April, 2018.</t>
  </si>
  <si>
    <t>Manufacturing; Distribution Center</t>
  </si>
  <si>
    <t>https://mn.gov/deed/newscenter/press-releases/#/detail/appId/1/id/337927 AND https://www.swcbulletin.com/business/announcements/4407520-business-park-ramps-expansions</t>
  </si>
  <si>
    <t>9800 Hemingway Ave S</t>
  </si>
  <si>
    <t>North Star Sheets</t>
  </si>
  <si>
    <t>The first phase of a Cottage Grove business park is under construction with a 161,000-square-foot building for cardboard maker North Star Sheets. The new building will be a new rail-served manufacturing facility, and is at 7550 91st St. S. North Star Sheets has told the city it intends to hire 40 to 50 people. The building is scheduled for completion in September.</t>
  </si>
  <si>
    <t>Paper, Printing</t>
  </si>
  <si>
    <t>https://finance-commerce.com/2018/04/cottage-grove-development-lands-cardboard-manufacturer/ AND https://www.swcbulletin.com/business/announcements/4407520-business-park-ramps-expansions</t>
  </si>
  <si>
    <t>7550 91st St S</t>
  </si>
  <si>
    <t>Cantilever Bridge Distillery</t>
  </si>
  <si>
    <t>Ranier</t>
  </si>
  <si>
    <t>Koochiching</t>
  </si>
  <si>
    <t>Cantilever Bridge Distillery LLC will invest $5.7 million to build a 14,000-square-foot spirits manufacturing facility in the northern Minnesota community of Ranier, a city of about 145 people, located 3 miles east of International Falls in Koochiching County. Plans call for distilling several types of liquor for regional and international sale. Cantilever anticipates hiring 10 people within three years at salaries averaging $26.96 an hour. DEED award: $175,000 from Job Creation Fund.</t>
  </si>
  <si>
    <t>Manufacturing; Dining</t>
  </si>
  <si>
    <t>http://www.ifallsjournal.com/news/local/micro-distillery-project-in-the-works/article_f27bc1e9-644f-52d6-9ff2-9a08ea6e729d.html AND https://mn.gov/deed/newscenter/press-releases/#/detail/appId/1/id/337927</t>
  </si>
  <si>
    <t>2078 Spruce St</t>
  </si>
  <si>
    <t>Grand View Lodge Resort &amp; Spa</t>
  </si>
  <si>
    <t>Nisswa</t>
  </si>
  <si>
    <t>Crow Wing</t>
  </si>
  <si>
    <t>City of Nisswa officials have approved the plans and work is about to start on a major expansion of Grand View Lodge, a year-round resort and conference center on the north shore of Gull Lake. The expansion includes a 60-room, 36,000 SF hotel and conference room; a 15,800 SF recreation building/outdoor game area; a 5730 SF addition to the resort's spa; a 1260 SF an outdoor wedding chapel, and 21 twin homes. Declined to discuss cost. (Update 5/2018: $30 million expansion.)</t>
  </si>
  <si>
    <t>Accommodation</t>
  </si>
  <si>
    <t>Accommodation, Food Services</t>
  </si>
  <si>
    <t>http://bit.ly/2F6bdN2. Details from http://cityofnisswa.com/media/Document_652.pdf</t>
  </si>
  <si>
    <t>23521 Nokomis Ave</t>
  </si>
  <si>
    <t>Stoneridge Software</t>
  </si>
  <si>
    <t>Barnesville</t>
  </si>
  <si>
    <t>Clay</t>
  </si>
  <si>
    <t>Stoneridge will invest $725,000 to expand their operations to 7,500 square feet of newly renovated office space. City of Barnesville EDA Director Karen Lauer said the EDA is working on an agreement with Stoneridge Software for the old 52 Building. Stoneridge Software has accepted the agreement, with a seven-year lease. DEED Award: Job Creation Fund $140,000.</t>
  </si>
  <si>
    <t>Office (Non-HQ); Other</t>
  </si>
  <si>
    <t>https://mn.gov/deed/newscenter/press-releases/#/detail/appId/1/id/337927. ALSO http://www.barnesvillemn.com/wp-content/uploads/2018/01/Special-City-Council-Meeting-January-22-2018.pdf (Application)</t>
  </si>
  <si>
    <t>101 Front St S</t>
  </si>
  <si>
    <t>Target Corp</t>
  </si>
  <si>
    <t>We're investing $250 million to remodel 28 of our Twin Cities stores (about half) this year, on the way to enhancing all area stores over the next few years. It's part of our efforts to reimagine more than 1,000 stores across the country by the end of 2020.</t>
  </si>
  <si>
    <t>Retail</t>
  </si>
  <si>
    <t>https://corporate.target.com/article/2018/03/store-remodels</t>
  </si>
  <si>
    <t>1000 Nicollet Mall</t>
  </si>
  <si>
    <t>Novel Coworking</t>
  </si>
  <si>
    <t>Level Office, a co-working provider new to the Twin Cities, has purchased the former home of the Art Institutes International Minnesota in downtown Minneapolis. Occupying all four floors of the 78,600-square-foot LaSalle Building will make Chicago-based Level Office one of the largest co-working operators in the metro and possibly the largest collaborative space under one roof. Level bought the building last week, though they did not reveal the price. The company will renovate the space.</t>
  </si>
  <si>
    <t>http://www.startribune.com/co-working-provider-level-office-purchases-downtown-minneapolis-building/475885803/</t>
  </si>
  <si>
    <t>15 South 9th St</t>
  </si>
  <si>
    <t>Chicago</t>
  </si>
  <si>
    <t>IL</t>
  </si>
  <si>
    <t>Farm to Fork</t>
  </si>
  <si>
    <t>The Farm to Fork startup accelerator launching this year plans to move into downtown St. Paul's Osborn370 building. Farm to Fork is a partnership between Techstars, Cargill and Ecolab. Farm to Fork will lease 10,000 square feet in the building, which is owned by an investor group. St. Paul?s housing and redevelopment authority provided Techstars with a $200,000, three-year loan to go toward office space improvement and equipment. Cargill and Ecolab are providing $160K to cover expenses.</t>
  </si>
  <si>
    <t>https://www.bizjournals.com/twincities/news/2018/03/08/techstars-farm-to-fork-accelerator-headed-for-st.html</t>
  </si>
  <si>
    <t>Ability Network</t>
  </si>
  <si>
    <t>Health IT company Ability Network will expand its Minneapolis office by 17,000 square feet to accommodate its growth, bringing their space to 67000 SF. The announcement comes two weeks after Bowie, Md.-based Inovalon Holdings Inc. announced it would buy Ability. Ability, which reached a deal to be sold for $1.2 billion earlier this month, has about 200 employees based in Minneapolis.</t>
  </si>
  <si>
    <t>https://www.bizjournals.com/twincities/news/2018/03/20/tech-company-ability-network-to-exand-minneapolis.html</t>
  </si>
  <si>
    <t>100 N 6th St Ste 900A</t>
  </si>
  <si>
    <t>IntriCon Corp</t>
  </si>
  <si>
    <t>Arden Hills</t>
  </si>
  <si>
    <t>Following a record sales year, Arden Hills medical-products maker IntriCon Corp. announced the signing of a five-year lease on 30,000 square feet of new manufacturing space. It is expanding its manufacturing footprint by about 30 percent. IntriCon declined identify exactly which devices would be manufactured under contract in the new space, but indicated that the growth in sales in the fourth quarter was primarily driven by production of Medtronics MiniMed wireless glucose monitoring systems.</t>
  </si>
  <si>
    <t>Headquarters; Manufacturing; Research &amp; Dev</t>
  </si>
  <si>
    <t>http://www.startribune.com/arden-hills-intricon-grows-medical-manufacturing-business/476711123/</t>
  </si>
  <si>
    <t>1260 Red Fox Rd</t>
  </si>
  <si>
    <t>Delta Dental of Minnesota</t>
  </si>
  <si>
    <t>Bemidji</t>
  </si>
  <si>
    <t>Beltrami</t>
  </si>
  <si>
    <t>Delta Dental of Minnesota to Break Ground on Bemidji Facility This Spring. Up to 150 jobs in the regional nonprofit's sales, technology and administrative services departments will be created in the process. After filling its initial need of up to 150 new workers, Delta Dental is expected to become one of Bemidji's top ten employers. The new development, said to cost between $12 million and $13 million according to the Bemidji Pioneer, is projected to open by the end of 2019.</t>
  </si>
  <si>
    <t>https://www.bemidjipioneer.com/business/technology/4418641-updated-delta-dental-bring-150-jobs-bemidji</t>
  </si>
  <si>
    <t>Uponor</t>
  </si>
  <si>
    <t>Hutchinson</t>
  </si>
  <si>
    <t>McLeod</t>
  </si>
  <si>
    <t>"Uponor North America is hosting a job fair March 22 at its recently acquired Hutchinson facility, which is now slated to open this summer. Officials said they need to hire 50 workers for the former TDK Corp./Hutchinson Technology Inc. building that Uponor bought in August 2017 for $6.4 million. Finland-based Uponor is converting the building into a pipe making plant and needs workers sooner than it anticipated. The manufacturing plant is expected to become operational this summer.</t>
  </si>
  <si>
    <t>http://www.startribune.com/uponor-hosts-job-fair-at-new-hutchinson-site-on-thursday/477321293/</t>
  </si>
  <si>
    <t>Star Tribune</t>
  </si>
  <si>
    <t>500 Technology Dr.</t>
  </si>
  <si>
    <t>BDPI</t>
  </si>
  <si>
    <t>Uponor Corporation</t>
  </si>
  <si>
    <t>Vantaa</t>
  </si>
  <si>
    <t>Finland</t>
  </si>
  <si>
    <t>BKBM Engineers Inc</t>
  </si>
  <si>
    <t>Brooklyn Center</t>
  </si>
  <si>
    <t>When BKBM Engineers was building out its Brooklyn Center office in the Earle Brown Tower, the firm's priorities were to create more room for its employees, to design a space that symbolized the structural engineering firm's character, and to keep the project cost reasonable. BKBM moved to its new 16,955-SF space in October. It had previously operated out of a 10,000-square-foot headquarters in Brooklyn Center.</t>
  </si>
  <si>
    <t>Architecture, Engineering</t>
  </si>
  <si>
    <t>https://www.bizjournals.com/twincities/news/2018/03/20/cool-offices-bkbm-engineers-grows-into-lighter.html</t>
  </si>
  <si>
    <t>6120 Earle Brown Dr</t>
  </si>
  <si>
    <t>GearJunkie Media</t>
  </si>
  <si>
    <t>GearJunkie, founded in 2006 as an occasional newspaper column on outdoor activities and equipment by its founder that has grown into an online business approaching $2 million in revenue, is moving its headquarters from Minneapolis to Denver. Founder Stephen Regenold said, despite the move of several people to Denver, the Minneapolis will be our rebranded creative arm, GearJunkie Media. Staff will increase to 10 people as we build a marketing agency to complement our editorial work.</t>
  </si>
  <si>
    <t>Other Information Services</t>
  </si>
  <si>
    <t>Information</t>
  </si>
  <si>
    <t>http://strib.mn/2FQoWIe AND https://gearjunkie.com/gearjunkie-denver-new-office-moved-colorado</t>
  </si>
  <si>
    <t>2836 Lyndale Ave S Ste 100</t>
  </si>
  <si>
    <t>GearJunkie</t>
  </si>
  <si>
    <t>Denver</t>
  </si>
  <si>
    <t>CO</t>
  </si>
  <si>
    <t>Sonex Health</t>
  </si>
  <si>
    <t>Mayo Clinic spin-off company Sonex Health LLC makes a medical device to improve the treatment of carpel tunnel syndrome. Sonex continues to attract startup financing, this time from the city of Rochester's economic development fund. Sonex landed a $150,000 loan convertible into equity from the fund in February. Sonex currently has five employees and is looking into growing its Rochester operations; hiring key employees, including sales personnel; and building a training center for physicians.</t>
  </si>
  <si>
    <t>http://bit.ly/2HS7nnu</t>
  </si>
  <si>
    <t>11 1st Ave SW Ste 202</t>
  </si>
  <si>
    <t>The Fish Guys</t>
  </si>
  <si>
    <t>St. Louis Park-based The Fish Guys, a wholesale supplier of seafood since 1993, has kicked off Market House Meats, which will deliver beef, pork and chicken to local restaurants and retailers across the Midwest. Higgins expects the company to continue hiring warehouse workers and drivers as Market House Meat grows. The division is projected to double the company's sales in three years, which would be "north of $100 million".</t>
  </si>
  <si>
    <t>Headquarters; Warehouse</t>
  </si>
  <si>
    <t>Wholesale</t>
  </si>
  <si>
    <t>https://www.bizjournals.com/twincities/news/2018/03/21/surf-and-turf-the-fish-guys-launch-wholesale-meat.html</t>
  </si>
  <si>
    <t>301 Royalston Ave</t>
  </si>
  <si>
    <t>Hansen Reynolds</t>
  </si>
  <si>
    <t>Hansen Reynolds, one of Milwaukee's largest law firms, has opened an office in downtown Minneapolis. The firm opened shop in the Capella Tower earlier this month and hired local attorneys Michael Okerlund and Nick Boebel. The litigation-only firm primarily does complex commercial work and patent law. It's the fourth office for the firm, and Minneapolis was a natural expansion location because of the potential clients and current work in the area, said Brian Ammerman, an administrator for H/R.</t>
  </si>
  <si>
    <t>Legal Services</t>
  </si>
  <si>
    <t>https://www.bizjournals.com/twincities/news/2018/03/23/law-firm-hansen-reynolds-expands-to-minneapolis.html</t>
  </si>
  <si>
    <t>225 South 6th St</t>
  </si>
  <si>
    <t>Milwaukee</t>
  </si>
  <si>
    <t>WI</t>
  </si>
  <si>
    <t>Icertis</t>
  </si>
  <si>
    <t>Minneapolis - TBD</t>
  </si>
  <si>
    <t>Tech company Icertis, which recently closed on a $50 million round of venture capital, plans to open a Twin Cities office that will eventually employ 20 people. The Bellevue, Wash.-based startup wants a Twin Cities location partly to be closer to clients, including manufacturing giant 3M Co. Icertis is scouting for office space in the Twin Cities, where it will add staff in sales, implementation and customer support roles.</t>
  </si>
  <si>
    <t>https://www.bizjournals.com/twincities/news/2018/02/26/after-raising-50m-seattle-area-startup-icertis.html</t>
  </si>
  <si>
    <t>Bellevue</t>
  </si>
  <si>
    <t>WA</t>
  </si>
  <si>
    <t>Vyriad</t>
  </si>
  <si>
    <t>Mayo Clinic spin-off company Vyriad Inc., maker of genetically-engineered viruses designed to destroy cancer tumors, is raising $9 million to fund an expansion at the former IBM building in Rochester where it plans to hire and house up to 30 new employees. Vyriad has received a $270K loan from the Minnesota Investment Fund. Vyriad also landed a $109K loan from the Rochester Economic Development Fund. Vyriad is seeking to hire between 20 and 30 new workers within two years.</t>
  </si>
  <si>
    <t>http://bit.ly/2pMPm3u</t>
  </si>
  <si>
    <t>221 1st Ave SW Ste 102</t>
  </si>
  <si>
    <t>2018-Q2</t>
  </si>
  <si>
    <t>Formacoat</t>
  </si>
  <si>
    <t>Scott</t>
  </si>
  <si>
    <t>Formacoat is a medical device contract manufacturing company based in Chaska. The company specializes in applying medical device coating applications. Formacoat is seeking to build an approx. 30,000 SF building on about 3 acres of the former building center site. The expansion will enable Formacoat to significantly expand is core business and add other technologies to is capabilities. 15 new mfg jobs upon opening and 10-15 more new jobs in the first 2-3 years. Sept 2018 MIF Award $270K</t>
  </si>
  <si>
    <t>https://www.chaskamn.com/AgendaCenter/ViewFile/Item/3489?fileID=9379</t>
  </si>
  <si>
    <t>12500 Zinran Ave</t>
  </si>
  <si>
    <t>Turck Inc</t>
  </si>
  <si>
    <t>Plymouth</t>
  </si>
  <si>
    <t>Plymouth-based manufacturer Turck Inc. has added 38,000 square feet of manufacturing and office space near its Plymouth, Minnesota, headquarters as it works to keep up with unplanned demand for its products. Turck makes components for industrial automation equipment, including sensors and cables, among other products. To keep up with demand, it leased two new buildings next to its 125,000-square-foot manufacturing facility in Plymouth, adding a total of 40,000 add'l SF since 2017. Remodeling.</t>
  </si>
  <si>
    <t>Office (Non-HQ); Manufacturing</t>
  </si>
  <si>
    <t>https://www.bizjournals.com/twincities/news/2018/04/03/turck-expands-plymouth-operations-as-company-grows.html</t>
  </si>
  <si>
    <t>3000 Campus Dr</t>
  </si>
  <si>
    <t>Hans Turck GmbH &amp; Co KgG</t>
  </si>
  <si>
    <t>Mulheim an der Ruhr</t>
  </si>
  <si>
    <t>Germany</t>
  </si>
  <si>
    <t>Warners' Stellian</t>
  </si>
  <si>
    <t>St. Paul-based appliance retailer Warners' Stellian has paid $6.5 million for an 80,000-square-foot building that will give it both a second warehouse (70,000 SF) and new retail store (10,000 SF) at 2601 Broadway St. NE in northeast Minneapolis. Warners' started work Monday on renovations to turn up to 15 percent of the newly acquired building into a retail store.</t>
  </si>
  <si>
    <t>Warehouse; Retail</t>
  </si>
  <si>
    <t>https://www.bizjournals.com/twincities/news/2018/04/04/warners-stellian-buying-80-000-square-foot.html</t>
  </si>
  <si>
    <t>2601 Broadway St NE</t>
  </si>
  <si>
    <t>Warners' Stellian Appliance Co</t>
  </si>
  <si>
    <t>ILLUME Holding</t>
  </si>
  <si>
    <t>Home fragrance and personal care products company Illume Holding Co. said it will invest nearly $10.6 million in Maple Grove. Illume plans to move into a new 288,000-square-foot leased facility in the Arbor Lakes Business Park in Maple Grove. The move from Minneapolis/Bloomington will enable the company to consolidate its operations at a single site. Along with the move, the company plans to add 85 jobs within two years. DEED awarded a $175K JCF grant and $450K MIF loan to Illume.</t>
  </si>
  <si>
    <t>Other Manufacturing</t>
  </si>
  <si>
    <t>https://mn.gov/deed/newscenter/press-releases/?id=1045-334148</t>
  </si>
  <si>
    <t>12730 Main St</t>
  </si>
  <si>
    <t>AgVend</t>
  </si>
  <si>
    <t>E-commerce startup serving farmers to boost Twin Cities hiring after raising $1.75M. AgVend plans to build out its sales, marketing and customer-support operations in the Twin Cities, [CEO Alexander] Reichert said. He estimated the company will employ between 10 and 15 workers here within the next two years, and will open a downtown Minneapolis location by the end of the second quarter.</t>
  </si>
  <si>
    <t>http://bit.ly/2q901F2</t>
  </si>
  <si>
    <t>400 S 4th St Ste 401-227</t>
  </si>
  <si>
    <t>Amplifon USA</t>
  </si>
  <si>
    <t>Global hearing aid distributor Amplifon will move its North American headquarters from Plymouth to downtown Minneapolis. Global HQ is in Italy. Amplifon is best-known for its Miracle-Ear brand. In November, the North American headquarters staff of 180 people will move from Plymouth to the 23rd and 24th floors of the 150 tower in the Fifth Street Towers in Minneapolis. The move will cut Amplifon's space from 50,000 square feet to 44,000, but the company plans to add 40 jobs soon after relocating.</t>
  </si>
  <si>
    <t>https://www.bizjournals.com/twincities/news/2018/04/06/miracle-ear-parent-will-move-180-employees-from.html</t>
  </si>
  <si>
    <t>5000 Cheshire Ln N</t>
  </si>
  <si>
    <t>Amplifon SpA</t>
  </si>
  <si>
    <t>Milan</t>
  </si>
  <si>
    <t>CH</t>
  </si>
  <si>
    <t>Italy</t>
  </si>
  <si>
    <t>Johnson Outdoors</t>
  </si>
  <si>
    <t>Mankato</t>
  </si>
  <si>
    <t>Blue Earth</t>
  </si>
  <si>
    <t>Johnson Outdoors plans a $10 million 88,000 sq-ft addition to its manufacturing plant on the city's east side. More than $500,000 in tax increment financing will cover soil corrections at the site. The project consolidates operations at the Power Drive plant built in 2006 with workers relocating there from Mankato. The expansion will add six jobs..Johnson Outdoors manufactures trolling motors, canoes and kayaks, and other outdoor recreation gear. Parent company is based in Racine WI</t>
  </si>
  <si>
    <t>https://www.mankatofreepress.com/news/local_news/city-approves-subsidy-for-johnson-outdoors-expansion/article_81cff9fc-3c37-11e8-897c-abe26c4bc31f.amp.html</t>
  </si>
  <si>
    <t>Mankato Free Press</t>
  </si>
  <si>
    <t>121 Power Dr,</t>
  </si>
  <si>
    <t>Government</t>
  </si>
  <si>
    <t>TIF</t>
  </si>
  <si>
    <t>Mortarr LLC</t>
  </si>
  <si>
    <t>Albert Lea</t>
  </si>
  <si>
    <t>Freeborn</t>
  </si>
  <si>
    <t>JCF Award $175,000. The Albert Lea City Council supported a proposal by Mortarr LLC to develop the former Freeborn National Bank and Jacobsen Apartments buildings, which could bring three dozen jobs to the community in the next 15 months. Mortarr LLC is a software startup company established in July 2017 and is undergoing final beta testing and is expected to go live this summer. Phase 1 construction will accommodate about 35 workstations, 2 conference rooms, and other amenities. $175K JCF</t>
  </si>
  <si>
    <t>Construction</t>
  </si>
  <si>
    <t>https://m.albertleatribune.com/2018/04/council-voices-support-of-bank-building-proposal/</t>
  </si>
  <si>
    <t>137 S Broadway Ave</t>
  </si>
  <si>
    <t>Bold Orange</t>
  </si>
  <si>
    <t>Bold Orange is roughly three months old, but already needs more office space to handle its growth. The company, which focuses on customer-relationship management for companies in the retail, hospitality, health care and financial services industries, is moving to Washington Square in Minneapolis, where it signed a lease for 5,000 square feet, according to CEO Margaret Murphy. That's up from the 1,000 square feet the company had in International Market Square.</t>
  </si>
  <si>
    <t>Headquarters; Office (Non-HQ)</t>
  </si>
  <si>
    <t>Advertising, Public Relations</t>
  </si>
  <si>
    <t>https://www.bizjournals.com/twincities/news/2018/04/11/bold-orange-moving-to-bigger-office-space.html</t>
  </si>
  <si>
    <t>100 Washington Ave S Ste 750</t>
  </si>
  <si>
    <t>Cargill Kitchen Solutions</t>
  </si>
  <si>
    <t>Big Lake</t>
  </si>
  <si>
    <t>Sherburne</t>
  </si>
  <si>
    <t>Cargill Inc. will invest $20 million at its egg-processing facility in Big Lake, Minn., and will double its purchases of eggs from regional farms, as the agribusiness giant reacts to rising demand for the food. The Big Lake, Minn., plant makes an array of egg products, from precooked patties to frittatas. When the expansion is complete in January (2019), twice as many eggs, about 170 million, will be purchased from area farms and processed at the facility.</t>
  </si>
  <si>
    <t>https://www.bizjournals.com/twincities/news/2018/04/11/cargill-invests-20-million-in-big-lake-egg-plant.html?ana=e_me_set3&amp;s=newsletter&amp;ed=2018-04-11&amp;u=j485DLST5cwThp2Xmbm3Zw0bb183ab&amp;t=1523455103&amp;j=80964081</t>
  </si>
  <si>
    <t>20021 176th St NW</t>
  </si>
  <si>
    <t>Cargill Kitchen Solutions Incs</t>
  </si>
  <si>
    <t>Monticello</t>
  </si>
  <si>
    <t>Vickerman</t>
  </si>
  <si>
    <t>Norwood Young America</t>
  </si>
  <si>
    <t>Holiday décor manufacturer and distributor Vickerman Co. will invest $6.9 million and create 11 jobs in an expansion of its storage and distribution center in Norwood Young America. It currently has 140,000 square feet for manufacturing, storage and shipping, and the new facility will add on another 118,000 square feet, part of a consolidation of space currently spread across four sites nationally. The new jobs will be created within two years and pay wages averaging $16.36 an hour. JCF $110,000</t>
  </si>
  <si>
    <t>Headquarters; Manufacturing; Warehouse; Distribution Center</t>
  </si>
  <si>
    <t>https://mn.gov/deed/newscenter/press-releases/#/detail/appId/1/id/337927 AND http://www.greystoneconstruction.com/about/events-news/news/vickerman-company-warehouse-expansion-begins.html</t>
  </si>
  <si>
    <t>675 Tacoma Blvd</t>
  </si>
  <si>
    <t>Yeadon Fabric Domes LLC</t>
  </si>
  <si>
    <t>Maplewood</t>
  </si>
  <si>
    <t>Yeadon Fabric Domes to build new headquarters in St. Paul. Yeadon Fabric Domes makes giant domes for athletic fields. Yeadon will move its headquarters this year from Minneapolis to St. Paul. The facility will be 49,000 square feet, with another 6,000 square feet of attached office space, for a total of 55,000 SF. It will be built at East Seventh Street and Forest Street in St. Paul. The new facility will allow increased production by 50 percent. Currently employs 43, add 80 over 10 years.</t>
  </si>
  <si>
    <t>Office (Non-HQ); Distribution Center</t>
  </si>
  <si>
    <t>http://bit.ly/2HbcmTA</t>
  </si>
  <si>
    <t>2475 Maplewood Dr Ste 114</t>
  </si>
  <si>
    <t>2018-Q3</t>
  </si>
  <si>
    <t>New Flyer of America</t>
  </si>
  <si>
    <t>St. Cloud</t>
  </si>
  <si>
    <t>New Flyer of America is a larger company, with about 700 employees at their St. Cloud location, they will be looking to add 340 more workers over the next three years. Received $350K MJSP</t>
  </si>
  <si>
    <t>Transportation Equipment</t>
  </si>
  <si>
    <t>http://wjon.com/state-grants-to-create-400-new-jobs-in-st-cloud/</t>
  </si>
  <si>
    <t>6200 Glenn Carlson Dr</t>
  </si>
  <si>
    <t>New Flyer Industries Limited</t>
  </si>
  <si>
    <t>Winnipeg</t>
  </si>
  <si>
    <t>MB</t>
  </si>
  <si>
    <t>Canada</t>
  </si>
  <si>
    <t>Maple Island Inc</t>
  </si>
  <si>
    <t>Wanamingo</t>
  </si>
  <si>
    <t>Goodhue</t>
  </si>
  <si>
    <t>Wanamingo to aid Maple Island in warehouse expansion which would add 20,000 SF. The expansion would cost between $675,000-$900,000. Maple Island is requesting $450,000 loan through MIF as well as reaching out to other financing sources. Maple Island plans to hire 20 new employees right away for an additional shift on the new (2nd) production line. In the near future there could be 10-20 new jobs created by adding a third production line for pouching.</t>
  </si>
  <si>
    <t>http://www.southernminn.com/the_kenyon_leader/news/article_127c5d61-af5b-5ea7-b35e-64a4b9f37617.html</t>
  </si>
  <si>
    <t>25 N Main</t>
  </si>
  <si>
    <t>North St Paul</t>
  </si>
  <si>
    <t>Preston Kelly</t>
  </si>
  <si>
    <t>Preston Kelly, an advertising and public relations firm, has landed four agency-of-record contracts since last summer and has announced eight hires, in part to keep with the increased workload. The most notable of the new clients is Minneapolis-based UCare, a nonprofit that provides health coverage and services to Minnesotans statewide.</t>
  </si>
  <si>
    <t>http://bit.ly/2qEGuxi </t>
  </si>
  <si>
    <t>222 1st Ave NE</t>
  </si>
  <si>
    <t>Bellisio Foods Inc</t>
  </si>
  <si>
    <t>Bellisio Foods has opened up its space to make it roomier for employees at its Minneapolis office. An expansion, finished in March, makes the space 16,000 square feet. Designers cut a corridor from an existing office into an adjoining vacant space at 1201 Harmon Place to allow the company to add staff to its sales and marketing departments.</t>
  </si>
  <si>
    <t>https://www.bizjournals.com/twincities/news/2018/04/24/cool-offices-bellisio-foods-expansion-melds.html</t>
  </si>
  <si>
    <t>1201 Harmon Pl</t>
  </si>
  <si>
    <t>Charoen Pokphand foods</t>
  </si>
  <si>
    <t>Bangkok</t>
  </si>
  <si>
    <t>Thailand</t>
  </si>
  <si>
    <t>Amazon</t>
  </si>
  <si>
    <t>Amazon.com Inc. is acknowledging for the first time that it's getting a lot bigger in Minneapolis. Amazon will hire an additional 200 transportation technology specialists, cloud computing engineers and IT workers for the space, located in the T3 building at 323 N. Washington Ave. 150 workers are there now. It has been drawn to the Twin Cities because of its tech expertise, especially in the areas of transportation and logistics.</t>
  </si>
  <si>
    <t>https://www.bizjournals.com/twincities/news/2018/04/30/amazon-says-itll-hire-200-for-minneapolis-tech.html?ana=e_me_set1&amp;s=newsletter&amp;ed=2018-04-30&amp;u=j485DLST5cwThp2Xmbm3Zw0bb183ab&amp;t=1525094524&amp;j=81298411</t>
  </si>
  <si>
    <t>100 South Fifth St</t>
  </si>
  <si>
    <t>Seatle</t>
  </si>
  <si>
    <t>Logic PD Inc</t>
  </si>
  <si>
    <t>Eden Prairie</t>
  </si>
  <si>
    <t>Logic PD, a contract electronics manufacturer, will receive up to $675,000 through the Minnesota Apprenticeship Initiative. Logic PD is based at 6201 Bury Drive in Eden Prairie. The money will support training for 135 apprentices in fields such as complex soldering and machine operation. The company has 326 employees. Apprentices will spend 18 months working and receiving instruction on the job. The apprentices will be a mix of current and new workers.</t>
  </si>
  <si>
    <t>Computers, Electronics</t>
  </si>
  <si>
    <t>http://bit.ly/2JK5VEG </t>
  </si>
  <si>
    <t>6201 Bury Dr</t>
  </si>
  <si>
    <t>Lyngblomsten Health Care Fac</t>
  </si>
  <si>
    <t>A St. Paul nursing home is planning a major renovation project to keep up with the fast-growing senior housing market.Work is expected to begin in June. The comprehensive renovation plans include larger, more accessible resident bathrooms, updated dining rooms and kitchens, new flooring and ceiling tile, improved lighting and new windows. The overall cost of the project will come to about $9 million, including $8 million in construction costs to be financed by 25 yr conduit revenue bonds</t>
  </si>
  <si>
    <t>https://finance-commerce.com/2018/05/lyngblomsten-to-rehab-st-paul-nursing-home/</t>
  </si>
  <si>
    <t>1415 Almond Ave</t>
  </si>
  <si>
    <t>La Dona Cerveceria</t>
  </si>
  <si>
    <t>Minnesota's first Latino-inspired beer company will soon have a physical cervecería and taproom to call home. La Doña Cervecería founder Sergio Manancero, son of Uruguayan immigrants, former Marine, and University of Minnesota alum, plans to build a brewery and taproom for his company, which started producing a line of Latino-influenced beers in 2016 under a contract brewing arrangement with Sand Creek Brewing in Wisconsin. La Doña will occupy a 10,000-SF warehouse space.</t>
  </si>
  <si>
    <t>https://growlermag.com/minnesotas-first-latino-owned-beer-company-to-open-its-cerveceria-and-taproom-this-summer/</t>
  </si>
  <si>
    <t>241 Fremont Ave N</t>
  </si>
  <si>
    <t>University of MN Medical Center - Fairview</t>
  </si>
  <si>
    <t>Fairview Health Services will invest $112 million in renovations to the University of Minnesota Medical Center. The project calls for increasing capacity at the east bank hospital's emergency department, including construction of a 7,000-square-foot addition. The project will also include significant renovations to operating rooms. Fairview will start work on the renovations in the coming weeks and construction will wrap up in October 2020.</t>
  </si>
  <si>
    <t>https://www.bizjournals.com/twincities/news/2018/05/10/fairview-to-make-112m-investment-in-university-of.html</t>
  </si>
  <si>
    <t>500 Harvard St SE</t>
  </si>
  <si>
    <t>Fairview Health Systems</t>
  </si>
  <si>
    <t>10000 Drops Craft Distillers</t>
  </si>
  <si>
    <t>Faribault</t>
  </si>
  <si>
    <t>Rice</t>
  </si>
  <si>
    <t>It's an expensive proposition to make grain to glass spirits when just starting a distillery business, but for the founders of 10,000 Drops Craft Distillers, hope to open soon in downtown Faribault. With a whopping five floors, their building offers lots of space for barrel storage and plenty of room for growth of the business. They have had to do quite the overhaul, renovating the building to get it up to code, but also working to create a unique ambiance to reflect the 10,000 Drops brand.</t>
  </si>
  <si>
    <t>https://growlermag.com/now-open-or-damn-close-10000-drops-craft-distillers/</t>
  </si>
  <si>
    <t>28 Fourth St NE</t>
  </si>
  <si>
    <t>IRD Glass</t>
  </si>
  <si>
    <t>Litchfield</t>
  </si>
  <si>
    <t>Meeker</t>
  </si>
  <si>
    <t>IRD Glass is proud to announce that we had our first $1m month this March! We've been in business for 35 years, since 1983, and business is really booming. Through the first five months of 2018 we have been on a hiring tear, bringing 24 people into the IRD family, including 2 new engineers.</t>
  </si>
  <si>
    <t>https://www.irdglass.com/news/hiring-spree/</t>
  </si>
  <si>
    <t>810 E St Paul St</t>
  </si>
  <si>
    <t>Loon Liquors Distillery</t>
  </si>
  <si>
    <t>Northfield</t>
  </si>
  <si>
    <t>Loon Liquors, a Northfield craft distillery, will quadruple its production starting in June to keep up with the growth in sales. It will begin producing 4,000 bottles/mo of its whiskey, gin, vodka and other spirits, an increase from the 1,000 bottles/mo. Owners and founders Mark Schiller and Simeon Rossi have invested $300,000 in new distilling and brewing equipment. Last month, Loon Liquors began leasing more space. April 2017: got a $50,000 grant from the Minnesota Dept of Agriculture</t>
  </si>
  <si>
    <t>https://www.bizjournals.com/twincities/news/2018/05/16/loon-liquors-quadrupling-production-capacity-for.html</t>
  </si>
  <si>
    <t>1325 Armstrong Rd Ste 165</t>
  </si>
  <si>
    <t>Daikin Applied</t>
  </si>
  <si>
    <t>HVAC systems manufacturer Daikin Applied is in the process of buying a new 300,000-square-foot facility in Faribault where it will hire more than 200 people next year. The company's North American headquarters is in Plymouth, but it already has two plants in Faribault (530 people) and Owatonna (370 people). The new facility will make commercial air-handling units.Operations at the new facility are expected to begin mid-2019. JCF application: $40.3 million investment. JCF award $1,633,500. BDPI $2M (2021)</t>
  </si>
  <si>
    <t>https://www.bizjournals.com/twincities/news/2018/05/17/plymouth-based-hvac-systems-maker-adding-more-than.html</t>
  </si>
  <si>
    <t>105 Prairie Ave SW</t>
  </si>
  <si>
    <t>Daikin Applied Americas Inc</t>
  </si>
  <si>
    <t>SteinAir Inc</t>
  </si>
  <si>
    <t>SteinAir needs to expand their facilities in order to meet their current production needs. An airport location is critical for their ability to grow. SteinAir is proposing relocating their entire business operations to the Faribault Municipal Airport. The proposed project includes the construction of a 16,000-18,000 SF hangar/manufacturing facility, an investment of $1.5 million and the creation of 8 new jobs (as well as relocating 17 existing FT jobs). JCF $120,000. Also Faribault EDA $100,000</t>
  </si>
  <si>
    <t>http://www.ci.faribault.mn.us/AgendaCenter/ViewFile/ArchivedAgenda/_05222018-1732?packet=true</t>
  </si>
  <si>
    <t>21170 Eaton Ave</t>
  </si>
  <si>
    <t>Andersen Corp</t>
  </si>
  <si>
    <t>Bayport</t>
  </si>
  <si>
    <t>Andersen Corp. on Thursday began a $40 million expansion of a factory at its Bayport, Minn., headquarters. The expansion will add about 60,000 square feet to an existing warehouse and 40 new workers to run the facility. The new factory will open next year and will make Fibrex wood-fiber materials, which are already made at the campus. It'll also free up space at another factory in North Branch.</t>
  </si>
  <si>
    <t>Headquarters; Manufacturing; Research &amp; Dev; Distribution Center</t>
  </si>
  <si>
    <t>Wood</t>
  </si>
  <si>
    <t>https://www.bizjournals.com/twincities/news/2018/05/25/andersen-launches-40-million-factory-expansion.html</t>
  </si>
  <si>
    <t>100 Fourth Ave N</t>
  </si>
  <si>
    <t>Doosan Bobcat</t>
  </si>
  <si>
    <t>"We've got plans to add 18 new employees in 2018 so my Recruiting strengths are getting put to use! Referrals always appreciated and if ya want a tour, happy to walk you through the place anytime. We?re hiring full-time for 18+ year olds for the summer, and full-time permanent employees both 1st and 2nd Shift."</t>
  </si>
  <si>
    <t>520 Polydome Dr</t>
  </si>
  <si>
    <t>West Fargo</t>
  </si>
  <si>
    <t>ND</t>
  </si>
  <si>
    <t>Northland Concrete &amp; Masonry</t>
  </si>
  <si>
    <t>Shakopee</t>
  </si>
  <si>
    <t>As Finance &amp; Commerce reported in 2016, Northland paid $4.125 million for a 35K sq-ft industrial warehouse and 21.7 acres of land at 1109 Stagecoach Road, in Shakopee. Northland Concrete &amp; Masonry Co. moved this spring (2018) to its new building, a 90,000-square-foot building at 1125 Stagecoach Road in Shakopee. Northland President Doug Schieffer said he had looked for a building for the growing company. He is using 75K square feet and leasing out about 15K SF and the original 35K warehouse.</t>
  </si>
  <si>
    <t>https://finance-commerce.com/2018/05/just-sold-metering-company-buys-burnsville-hq/ AND https://finance-commerce.com/2016/09/just-sold-northland-concrete-pays-4-1m-for-shakopee-site/</t>
  </si>
  <si>
    <t>1125 Stagecoach Road</t>
  </si>
  <si>
    <t>Essentia Health</t>
  </si>
  <si>
    <t>Essentia Health says it will spend $675 million on the work, becoming Minnesota's biggest medical construction project: building new St. Mary's hospital, clinic and outpatient center. The project "Vision Northland" will replace buildings on its downtown campus and make other renovations over the next four years. Overall, Essentia Health aims to build 800,000 square feet of new facilities and renovate 114,000 SF of existing facilities. (Much larger, more detail than 12/2017 announcement). Update July 2023: Grand opening of $900M hospital facility.</t>
  </si>
  <si>
    <t>http://www.startribune.com/duluth-s-essentia-health-will-build-new-st-mary-s-hospital-clinic-outpatient-center/483596881/</t>
  </si>
  <si>
    <t>407 E 3rd St</t>
  </si>
  <si>
    <t>Proctor</t>
  </si>
  <si>
    <t>Fastenal Co</t>
  </si>
  <si>
    <t>Winona</t>
  </si>
  <si>
    <t>Fastenal Co. announced plans to build a new office complex in downtown Winona, with room for potentially hundreds of employees. Dan Florness, president and CEO of Fastenal Co., said the company will start construction in 2019 on a new $10 million, 90,000-sq-ft downtown office building, with a capacity for 400-600 workers. Fastenal's current HQ are just north of downtown and will move some operations over several years to downtown. 10/2018 update: 70 new jobs, city redev grant, 120K SF</t>
  </si>
  <si>
    <t>https://www.bizjournals.com/twincities/news/2018/05/25/fastenal-will-build-new-office-complex-near-home.html AND https://finance-commerce.com/2018/06/how-fastenal-hq-deal-came-together-in-winona/</t>
  </si>
  <si>
    <t>2001 Theurer Blvd</t>
  </si>
  <si>
    <t>Lake Superior Brewing</t>
  </si>
  <si>
    <t>Lake Superior Brewing Co. is expanding its production and its reach in the Twin Cities and beyond. Co-owner Lars Kuehnow said the brewery is buying its own canning equipment soon, with the hopes of installing it this summer. He doesn't know exactly how much it will cost but said it would likely range from $50,000 to $150,000.</t>
  </si>
  <si>
    <t>https://www.bizjournals.com/twincities/news/2018/05/29/lake-superior-brewing-co-expands-production-begins.html</t>
  </si>
  <si>
    <t>2711 W Superior St Ste 204</t>
  </si>
  <si>
    <t>Regions Hospital</t>
  </si>
  <si>
    <t>Gov. Mark Dayton has signed a bill that allows HealthPartners Inc. to move ahead with a 55-bed expansion of Regions Hospital in St. Paul. The plan, approved by lawmakers earlier this month, is a scaled-back version of an earlier proposal that called for a 100-bed expansion. Bloomington-based HealthPartners said it needed licenses for those beds to meet rising demand for services. HealthPartners said its initial proposal would create about 950 jobs but those estimates had not yet been revised.</t>
  </si>
  <si>
    <t>http://bit.ly/2J2d2bz</t>
  </si>
  <si>
    <t>640 Jackson St</t>
  </si>
  <si>
    <t>HealthPartners Inc</t>
  </si>
  <si>
    <t>Bloomington</t>
  </si>
  <si>
    <t>Structural</t>
  </si>
  <si>
    <t>Structural, a software startup led by tech veterans Scott Burns and Chip House, has closed on $2.5 million to fund growth efforts, the company announced Tuesday. The company plans to put its recently won toward ramping up growth and will add a handful of jobs over the next year, Burns said. The startup has 10 employees in St. Paul and four in Indianapolis. Including the most recent round of funding, Structural has raised $5 million.</t>
  </si>
  <si>
    <t>Software</t>
  </si>
  <si>
    <t>https://www.bizjournals.com/twincities/news/2018/06/05/structural-raises-2-5-million.html</t>
  </si>
  <si>
    <t>370 Wabasha St N</t>
  </si>
  <si>
    <t>Sopheon</t>
  </si>
  <si>
    <t>"Tech company Sopheon, which makes software that big companies like Hormel Foods Corp. and Land O' Lakes use to manage research and development efforts, will ramp up hiring in the Twin Cities after coming off a year of strong sales growth. Sopheon CEO Andy Michuda is based in Bloomington, where the company employs between 15 and 20 workers. Sopheon plans to add about a dozen employees in the Twin Cities over the next year as the business continues to grow, Michuda said.</t>
  </si>
  <si>
    <t>https://www.bizjournals.com/twincities/news/2018/06/07/with-big-name-customers-r-d-software-firm-to.html</t>
  </si>
  <si>
    <t>3050 Metro Dr #200</t>
  </si>
  <si>
    <t>Park Nicollet Clinic</t>
  </si>
  <si>
    <t>Burnsville</t>
  </si>
  <si>
    <t>Park Nicollet Health Services has proposed building an 83,000-sq-ft specialty-care center near its clinic in Burnsville. Park Nicollet may add another 86,000-square-feet to building through two future additions, according to city documents. The health care provider, which is part of Bloomington-based HealthPartners Inc., would offer urgent care, orthopedic radiology and other services at the new building. Also included is an ambulatory surgery center in the development.</t>
  </si>
  <si>
    <t>https://www.bizjournals.com/twincities/news/2018/06/11/park-nicollet-pitches-new-specialty-care-center-in.html</t>
  </si>
  <si>
    <t>14000 Fairview Dr</t>
  </si>
  <si>
    <t>Park Nicollet Health Services</t>
  </si>
  <si>
    <t>St Louis Park</t>
  </si>
  <si>
    <t>Buddy's Kitchen Inc</t>
  </si>
  <si>
    <t>Lakeville</t>
  </si>
  <si>
    <t>Frozen food manufacturer Buddy's Kitchen Inc. wants to expand in Lakeville. The Burnsville-based company has been in talks with Lakeville city officials about a land swap, which would allow the business to complete an expansion and renovation project worth between $12 million to $15 million, according to city documents. Upon completion of that work, the business would add up to 300 new jobs over the next two years, according to city documents.</t>
  </si>
  <si>
    <t>https://www.bizjournals.com/twincities/news/2018/06/08/buddys-kitchen-to-expand-operations-in-lakeville.html</t>
  </si>
  <si>
    <t>21150 Hamburg Ave</t>
  </si>
  <si>
    <t>Park Nicollet is also expanding near HealthPartners-owned Methodist Hospital in St. Louis Park. The care provider plans to open a specialty center at the site of the Mann Theater as part of a redevelopment of that building. Park Nicollet will occupy 16,000 square feet of that project, which is owed by Frauenshuh Inc. (Methodist Hospital itself is also undergoing a $140 million renovation and expansion.)</t>
  </si>
  <si>
    <t>3800 Park Nicollet Blvd</t>
  </si>
  <si>
    <t>Crown Iron Works</t>
  </si>
  <si>
    <t>Crown Iron Works, a global manufacturer of equipment for the oilseed processing industry, plans new world HQ in Blaine. Crown plans to move 102 jobs paying an average of more than $90,000 a year from Roseville to Blaine. The 102 jobs will move from the Roseville location, which will close, and Crown projects 23 jobs could be created with the relocation. The new facility would be at 9859 and 1979 Naples St. NE: a 61,740-sq-ft main building and two outbuildings, for a total of 67000+ SF</t>
  </si>
  <si>
    <t>Headquarters; Office (Non-HQ); Manufacturing</t>
  </si>
  <si>
    <t>Primary Metals, Smelting</t>
  </si>
  <si>
    <t>https://finance-commerce.com/2018/06/crown-iron-works-plans-new-world-hq-in-blaine/</t>
  </si>
  <si>
    <t>2500 W County Rd C Ste A</t>
  </si>
  <si>
    <t>Colder Products Co</t>
  </si>
  <si>
    <t>St. Paul-based Colder Products Co. might build a $26 million world headquarters in Roseville and is pursuing nearly $3.25 million in public aid for the project.Colder is proposing to consolidate its St. Paul corporate offices and a second facility in the city into a new 150,000-square-foot building, according to the Roseville EDA. The project would rise on an 11-acre industrial site at 2814 Cleveland Ave. About 400 people would work at the facility. 10/2018 UPDATE: MIF $250K, JCF award $750K</t>
  </si>
  <si>
    <t>https://finance-commerce.com/2018/06/st-pauls-colder-products-mulls-big-hq-project-in-roseville/</t>
  </si>
  <si>
    <t>2814 Cleveland Ave</t>
  </si>
  <si>
    <t>Clyde Machines Inc</t>
  </si>
  <si>
    <t>Glenwood</t>
  </si>
  <si>
    <t>Pope</t>
  </si>
  <si>
    <t>Clyde Machines, Inc., of Glenwood, was approved and will receive up to $100,000 Job Creation Fund award from DEED to help with capital improvements at the Glenwood-based facility that are designed to create 15 new jobs. Plans to invest a total $9.2 million into building a 100,000 square-foot production facility. The local manufacturing company will also receive a $200,000 low-interest loan for the improvements and job creation. That loan is part of a revolving local economic development loan.</t>
  </si>
  <si>
    <t>https://pctribune.com/2018/06/work-continued-extending-utilities-minnesota-ave/</t>
  </si>
  <si>
    <t>1150 Hwy 55 N</t>
  </si>
  <si>
    <t>Spok</t>
  </si>
  <si>
    <t>Virginia-based health care communications company Spok is on pace to add 60 jobs at its Eden Prairie office a 45 percent expansion of its local workforce. Spok (pronounced "spoke") is about halfway through its growth plan, having added more than 30 new employees since January of last year. Spok's Twin Cities presence already included 135 staff members, which makes up more than 20 percent of its approximately 600-person companywide workforce.</t>
  </si>
  <si>
    <t>10400 Yellow Circle Dr</t>
  </si>
  <si>
    <t>Bondhus Corp</t>
  </si>
  <si>
    <t>Wright</t>
  </si>
  <si>
    <t>Bondhus is a majority woman-owned firm that manufactures a wide range of hand tools. Bondhus Corps will invest $2.3 million into a 12,600-square foot addition, and make other site adjustments to accommodate a new product line. The plan calls for creating 15 jobs within three years at an average hourly wage of $20.69. JCF $175,300</t>
  </si>
  <si>
    <t>Fabricated Metals</t>
  </si>
  <si>
    <t>http://tcbmag.com/news/articles/2018/june/five-small-businesses-receive-state-grants-for-job</t>
  </si>
  <si>
    <t>1400 E Broadway</t>
  </si>
  <si>
    <t>GEOTEK</t>
  </si>
  <si>
    <t>Stewartville</t>
  </si>
  <si>
    <t>GEOTEK specializes in manufacturing fiberglass composite products including composite crossarms for the electric utility industry. For $5.8 million, Geotek plans to purchase and renovate a building near its existing facility, as well as buy production equipment for the new building. The fiberglass manufacturer expects to add 62 jobs within five years with wages averaging $16.91 per hour. JCF $175,400</t>
  </si>
  <si>
    <t>1421 2nd Ave NW</t>
  </si>
  <si>
    <t>Reliant Systems Inc</t>
  </si>
  <si>
    <t>Zimmerman</t>
  </si>
  <si>
    <t>This majority woman-owned manufacturing firm makes custom-designed products for the semiconductor and medical industries. A $2.4 million investment into a new 28,000 square-foot facility will create five jobs at Reliant Systems Inc., a manufacturing firm that focuses on custom-designed semiconductor and medical products. The firm's new employees will bring in an average of $26.2 per hour in pay.</t>
  </si>
  <si>
    <t>http://tcbmag.com/news/articles/2018/june/five-small-businesses-receive-state-grants-for-job; http://www.redlakenationnews.com/story/2018/06/21/business/deed-approves-job-creation-funding-for-five-businesses/72720.html</t>
  </si>
  <si>
    <t>12641 Fremont Ave</t>
  </si>
  <si>
    <t>Harman Center for Child &amp; Family Wellbeing</t>
  </si>
  <si>
    <t>"Minnetonka-based St. David's Center for Child &amp; Family Development, which for 50 years has worked around the Twin Cities with special-needs families, this spring opened the Harman Center for Child &amp; Family Wellbeing in Minneapolis, using leased low-cost space owned by Westminster Church. The 10,000-square-foot facility is contained in a new building owned by Westminster Presbyterian Church at 12th Street and Marquette Avenue."</t>
  </si>
  <si>
    <t>http://www.startribune.com/harman-center-looks-to-help-kids-in-poverty/486307481/</t>
  </si>
  <si>
    <t>1200 S Marquette Ave</t>
  </si>
  <si>
    <t>St David's Center for Child &amp; Family Development</t>
  </si>
  <si>
    <t>Minnetonka</t>
  </si>
  <si>
    <t>Proozy</t>
  </si>
  <si>
    <t>In 2006, Jeremy Segal started a wholesale business selling golf products to mom-and-pop stores. Business exploded when he created his own website. The company sells brand-name golf, fitness and outdoor apparel, accessories and gear at discounts. Proozy's team numbers about 85, which it plans to double by October. Proozy is moving its HQ to a larger 50K (existing?) facility up the street in Eagan. The new building that will house a storefront, a gym and a bigger warehouse facility.</t>
  </si>
  <si>
    <t>http://tcbmag.com/news/articles/2018/june/this-e-retailer-s-strategic-decision-led-to-a-hole</t>
  </si>
  <si>
    <t>980 Discovery Rd</t>
  </si>
  <si>
    <t>Get Bizzy</t>
  </si>
  <si>
    <t>"Get Bizzy Inc., a Minneapolis-based maker of bottled cold-brew coffee, wants to substantially expand its operations with a move to a leased industrial space at 2700 Freeway Blvd in Brooklyn Center. The company currently produces its coffee out of the Food Building, the Northeast Minneapolis food incubator. Get Bizzy expects to move from NE Minneapolis to Brooklyn Center, increase its staff from 11 to 58 workers over 4 years (and 23 of these within 2 years). 10/2018 update: MIF Award $270K.</t>
  </si>
  <si>
    <t>https://www.bizjournals.com/twincities/news/2018/06/26/bottled-coffee-maker-get-bizzy-seeks-move-to.html</t>
  </si>
  <si>
    <t>2700 Freeway Blvd</t>
  </si>
  <si>
    <t>Sun Country Airlines</t>
  </si>
  <si>
    <t>Mendota Heights</t>
  </si>
  <si>
    <t>Sun Country Airlines is peeling back the curtain on its new growth strategy, announcing nearly a dozen new routes all outside the Twin Cities. The Eagan-based carrier said Tuesday it will offer seasonal service from Dallas-Fort Worth, St. Louis and Madison, Wis., signaling a two-pronged strategy for national expansion. It is also hiring 125 flight attendants, about 100 pilots and some technicians. Even though these new flights don't touch the Twin Cities, MN employees will staff them.</t>
  </si>
  <si>
    <t>1300 Mendota Heights Rd</t>
  </si>
  <si>
    <t>Relievant Medsystems</t>
  </si>
  <si>
    <t>Relievant Medsystems is Relocating Its HQ to Bloomington, Will Expand Operations The move from California to Minnesota comes as the chronic lower back pain device maker has wrapped a $58 million fundraising round. President and CEO Kevin Hykes also says a lot of Relievant's executives, including himself, are already based in the state. Locally, the company is expecting to staff 20 people within the next 12 months for its new headquarters and elsewhere; positions were not previously needed</t>
  </si>
  <si>
    <t>http://tcbmag.com/news/articles/2018/june/relievant-medsystems-is-relocating-its-hq-to-bloom</t>
  </si>
  <si>
    <t>8500 Normandale Lake Blvd, Ste 2150</t>
  </si>
  <si>
    <t>REM5</t>
  </si>
  <si>
    <t>It's learn by day, party by night for REM5, a new virtual-reality center opening in St. Louis Park later this year. Construction on the space, at 4950 W 35th St., is set to begin in July, and set for a mid-August opening. The 8,000-square-foot center being launched by Amir Berenjian and Travis Hoium will feature a lounge space and several semi-private virtual reality lounges, focusing on entertainment offerings, and partnering with local schools for daytime programs. Plan on hiring 5 to 10 ppl.</t>
  </si>
  <si>
    <t>Arts, Recreation</t>
  </si>
  <si>
    <t>https://www.bizjournals.com/twincities/news/2018/06/27/virtual-reality-center-to-provide-entertainment-at.html</t>
  </si>
  <si>
    <t>4950 W 35th St</t>
  </si>
  <si>
    <t>Premium Iowa Pork</t>
  </si>
  <si>
    <t>IA-based Premium Iowa Pork plans to take over the former Gold n Plump poultry plant in Luverne, and plans to hire 325 full-time employees once the facility is up and running. The plant had been a poultry processing plant for nearly two decades under GNP/Pilgrim's Pride Corp. when it was shut down last fall. PIP's plans for $25 m renovation,12,500 SF addition plus split the $6.7 million for upgrading the plant's wastewater facility (with City of Luverne) won the backing of the Luverne Planning Commission this week.</t>
  </si>
  <si>
    <t>https://www.bizjournals.com/twincities/news/2018/06/29/pork-producer-plans-to-move-into-shuttered-gold-n.html</t>
  </si>
  <si>
    <t>1174 County Hwy 4</t>
  </si>
  <si>
    <t>Hospers</t>
  </si>
  <si>
    <t>IA</t>
  </si>
  <si>
    <t>Hutchinson Community Hospital</t>
  </si>
  <si>
    <t>Minneapolis-based Kraus-Anderson has completed a $2.1 million expansion for Hutchinson Health in Hutchinson. The 9,600-square-foot project triples the size of Hutchinson Health's existing facility at 1095 Highway 15 S., and brings all of the clinic's cancer services into one location, according to Kraus-Anderson.</t>
  </si>
  <si>
    <t>Headquarters; Healthcare Facility</t>
  </si>
  <si>
    <t>https://finance-commerce.com/2018/07/hutchinson-health-expansion-completed/</t>
  </si>
  <si>
    <t>1095 Hwy 15 S</t>
  </si>
  <si>
    <t>LJP Enterprises Inc</t>
  </si>
  <si>
    <t>North Mankato</t>
  </si>
  <si>
    <t>Truckshop expansion. Construction of new addition to their building on property. Mentioned in passing in Mankato Press Article. Details from DEED.</t>
  </si>
  <si>
    <t>http://www.mankatofreepress.com/news/local_news/n-mankato-could-loan-k-to-waseca-business-looking-to/article_e02cc4a2-9737-11e8-9580-bb75d8cf3984.html</t>
  </si>
  <si>
    <t>2160 Ringhofer Dr</t>
  </si>
  <si>
    <t>Moss &amp; Barnett</t>
  </si>
  <si>
    <t>Moss &amp; Barnett is expanding to the St. Cloud area by taking over Stinson Leonard Street's office there. It's Moss &amp; Barnett's first office outside of Minneapolis and there's no plans to add anymore, although that could change down the road. The St. Cloud office will focus on all things related to private and family-owned businesses in the area. About a dozen people are involved in the transaction including five attorneys. The deal was effective July 1.</t>
  </si>
  <si>
    <t>https://www.bizjournals.com/twincities/news/2018/07/11/moss-barnett-takes-over-stinson-leonard-streets-st.html</t>
  </si>
  <si>
    <t>3800 8th St N Ste 102</t>
  </si>
  <si>
    <t>Topgolf</t>
  </si>
  <si>
    <t>A three-story golf driving range will soon stage "ambition auditions" for the 500 or so people they want to hire before the glitzy and high-tech all-season facility opens this year in Brooklyn Center. Topgolf has said the 65,000-square-foot open-air center will have 102 multiplayer bays, 11 exterior targets, 270 flat-screen televisions, a 50-table restaurant, a 3,000-square-foot terrace and another 3,000 square feet for hosting private gatherings.</t>
  </si>
  <si>
    <t>http://www.startribune.com/tricked-out-golf-driving-range-wants-to-hire-500-before-fall-opening-in-twin-cities/487776701/</t>
  </si>
  <si>
    <t>6420 N Camden Ave</t>
  </si>
  <si>
    <t>Dallas</t>
  </si>
  <si>
    <t>TX</t>
  </si>
  <si>
    <t>Inspectorio</t>
  </si>
  <si>
    <t>Inspectorio, a startup that moved to Minneapolis after completing Target's Techstars accelerator program, has raised an additional $10 million it will use to further expand its efforts to modernize and improve how retailers monitor their supply chains. Inspectorio now has about 130 employees, including about eight people in downtown Minneapolis... It plans to grow to 200 employees in the next six months. The Minneapolis office will be doubled in size.</t>
  </si>
  <si>
    <t>http://www.startribune.com/minneapolis-startup-inspectorio-raises-10-million-with-help-from-target-ecolab/488045821/</t>
  </si>
  <si>
    <t>901 S Marquette Ave Ste 603</t>
  </si>
  <si>
    <t>North Orbit Acoustic Laboratories</t>
  </si>
  <si>
    <t>North Orbit Acoustic Laboratories, a provider of acoustic testing and consulting services for building product manufacturers, plans to open a new testing lab in St. Paul to help address a growing need for sound-testing services in the construction industry. The company, founded in 2016, wants to acquire and remake an existing 11,000-square-foot warehouse building at 917 Rice St. into a laboratory for testing building components. Company officials did not say how much they will spend on buildout.</t>
  </si>
  <si>
    <t>Research &amp; Dev</t>
  </si>
  <si>
    <t>https://finance-commerce.com/2018/07/north-orbit-acoustic-laboratories-looks-to-grow-in-st-paul/</t>
  </si>
  <si>
    <t>Finance &amp; Commerce</t>
  </si>
  <si>
    <t>917 Rice</t>
  </si>
  <si>
    <t>Sons of Norway</t>
  </si>
  <si>
    <t>Minneapolis was awarded $741,553 in cleanup funding for this 2.9-acre site contaminated with petroleum and other pollutants. Housing, a gas station and a dry cleaner have all occupied the site in the past. The property will be redeveloped into 317 residential units, 15,000 square feet of office space for Sons of Norway and 7,000 square feet of retail space. Project expected to create 35 jobs, retain 50 jobs and increase the tax base by $990,537. Matching costs will be paid by developer, others.</t>
  </si>
  <si>
    <t>https://mn.gov/deed/newscenter/press-releases/?id=345918#/detail/appId/1/id/345486</t>
  </si>
  <si>
    <t>1455 W Lake St</t>
  </si>
  <si>
    <t>Superior Plating Inc</t>
  </si>
  <si>
    <t>Minneapolis was approved for $1.2 million in cleanup funding for this 2.28-acre site contaminated with petroleum and other pollutants. Coal yards, fueling companies, a plating facility and gas station previously occupied this site. The property will be redeveloped into a 12-story building offering 8,163 square feet of commercial space and 333 apartment units. Officials expect project will create 44 jobs and increase the tax base by $1.2 million. Matching costs will be paid by developer, others.</t>
  </si>
  <si>
    <t>315 1st Ave NE</t>
  </si>
  <si>
    <t>Thrivent Financial</t>
  </si>
  <si>
    <t>The nonprofit financial services organization is building a 350,000-square foot office building in the southeast quadrant of South Sixth Street and South Fifth Avenue. The MN DEED awarded $755,756 to clean up petroleum and other pollutants on the 2.51-acre block. Minneapolis received $755,756 in cleanup funding. Expected to retain 1,300 jobs and to increase tax base by $2.3 million.</t>
  </si>
  <si>
    <t>DEED</t>
  </si>
  <si>
    <t>625 4th Ave S</t>
  </si>
  <si>
    <t>Yamamoto Inc</t>
  </si>
  <si>
    <t>"Yamamoto is beefing up staff as it adds new clients. The Minneapolis advertising agency recently hired seven people in various departments, according to a release. It's a 12 percent increase in staff overall."</t>
  </si>
  <si>
    <t>219 2nd St N</t>
  </si>
  <si>
    <t>Dem-Con Companies LLC</t>
  </si>
  <si>
    <t>To ensure it has a clean [recycling] product to sell, Dem-Con has slowed down its sorting facility, added staff, and will be spending $2 million this fall to upgrade paper-sorting equipment.</t>
  </si>
  <si>
    <t>Waste Management</t>
  </si>
  <si>
    <t>http://www.startribune.com/minnesota-recyclers-scrambling-in-wake-of-chinese-restrictions/488198641/?ref=nl&amp;om_rid=1922783689&amp;om_mid=101521865</t>
  </si>
  <si>
    <t>13020 Dem Con Dr</t>
  </si>
  <si>
    <t>Lola Red Public Relations</t>
  </si>
  <si>
    <t>Public relations firm Lola Red will move this fall to space above the long-shuttered Bootlegger's bar at the corner of Fourth St. and First Avenue North in Minneapolis, several blocks from its current location in the Warehouse District, just above Runyon's. The firm's office will take up three floors, expanding from the 4,500 square feet it now has to 7,500 square feet, room enough for its 25 employees with space for growth.</t>
  </si>
  <si>
    <t>https://www.bizjournals.com/twincities/news/2018/07/17/pr-firm-lola-red-plots-move-within-warehouse.html</t>
  </si>
  <si>
    <t>107 N Washington Ave</t>
  </si>
  <si>
    <t>Miromatrix Medical Inc</t>
  </si>
  <si>
    <t>Miromatrix Medical Inc., a biotech company whose long-term goal is to grow human organs using a patient's own cells, has closed on a $15.7 million round of funding. Eden Prairie-based Miromatrix plans to put the capital partly toward further development and testing of its technology, which was first developed by researchers at the University of Minnesota. Miromatrix beat its initial fundraising goal of $10 million. It has about 30 employees and plans to add 3-5 more over the next 2 months.</t>
  </si>
  <si>
    <t>18683 Bearpath Trail</t>
  </si>
  <si>
    <t>Intertek</t>
  </si>
  <si>
    <t>Fridley</t>
  </si>
  <si>
    <t>Anoka</t>
  </si>
  <si>
    <t>The Northern Stacks in Fridley has drawn two Minnesota locations of Intertek to lease 70,500 square feet in one of the newest buildings in the nine-building industrial park. The move represents a small expansion of space and workforce for Intertek. London-based Intertek signed the 10-year lease in June, which will consolidate a 60-person workforce. Intertek will leave behind two leased spaces in St. Paul and Oakdale</t>
  </si>
  <si>
    <t>https://finance-commerce.com/2018/07/intertek-moving-to-fridleys-northern-stacks/</t>
  </si>
  <si>
    <t>41 Northern Stacks Dr</t>
  </si>
  <si>
    <t>Intertek Group plc</t>
  </si>
  <si>
    <t>D&amp;K Powder Coating</t>
  </si>
  <si>
    <t>D&amp;K is adding on a 22,000 SQ. Ft addition. Construction is set to begin on July 23rd and be completed by fall of 2018.</t>
  </si>
  <si>
    <t>Chemicals</t>
  </si>
  <si>
    <t>https://dkpowdercoating.com/blog-post-2/</t>
  </si>
  <si>
    <t>1415 First Ave Ste 1</t>
  </si>
  <si>
    <t>Graco</t>
  </si>
  <si>
    <t>Rogers</t>
  </si>
  <si>
    <t>Graco Minnesota, Inc. may expand its existing manufacturing facility in Rogers (Hennepin County) with approx. 330,000-square feet related to manufacturing operations and approximately 106,000-square feet for new office and lab areas. The total capital investment is $73,665,000 with $49,333,500 of it being eligible for the capital investment rebate. The company expects to create 84 jobs within 4 years. JCF Award $800K, MIF Award $700K.</t>
  </si>
  <si>
    <t>Manufacturing; Research &amp; Dev; Distribution Center</t>
  </si>
  <si>
    <t>https://mn.gov/deed/about/meetings-events/public-meetings.jsp#/?i=1</t>
  </si>
  <si>
    <t>20500 David Koch Ave</t>
  </si>
  <si>
    <t>Graco Inc</t>
  </si>
  <si>
    <t>Ascentis</t>
  </si>
  <si>
    <t>A San Francisco-area transplant has chosen Eden Prairie as its new home. Human resources software company Ascentis is taking over the fourth floor at Windsor Plaza, a 30,000-square-foot space that will be its main corporate office. Until recently, Ascentis? headquarters has been located in the Bay Area city of San Mateo, CA, at a 1970s-era building at 155 Bovet Rd. Construction of Ascentis' new space at Windsor Plaza will top $1 million.</t>
  </si>
  <si>
    <t>https://mrej.com/silicon-valley-tech-co-moves-hq-to-minneapolis-suburb/</t>
  </si>
  <si>
    <t>11995 Singletree Lane Ste 400</t>
  </si>
  <si>
    <t>GlobalTranz</t>
  </si>
  <si>
    <t>Growing logistics-tech company GlobalTranz Enterprises Inc. will expand its Minneapolis office as it ramps up hiring in the Twin Cities. The Scottsdale, Ariz.-based company has leased about 24,000 square feet of space on the 17th and 18th floors of Capella Tower in downtown Minneapolis. GlobalTranz, which has about 130 employees in the Twin Cities, will move out of roughly 9,000 square feet in the Riverplace building near St. Anthony Main. Could include adding 20 more positions to Mpls ofc</t>
  </si>
  <si>
    <t>https://www.bizjournals.com/twincities/news/2018/07/25/logistics-tech-firm-globaltranz-ramps-up-growth-in.html</t>
  </si>
  <si>
    <t>650 3rd Ave S Ste 1800</t>
  </si>
  <si>
    <t>Phoenix</t>
  </si>
  <si>
    <t>AZ</t>
  </si>
  <si>
    <t>Minnesota Diversified Industries</t>
  </si>
  <si>
    <t>MDI has begun filling 160 positions across all its locations (Grand Rapids, Cohasset, Hibbing, and Minneapolis) due to a surge in postal service orders coupled with a steady increase in commercial sales. MDI manufactures standard and custom corrugated plastic and provides assembly and environmental services. The organization currently employs more than 400 people, with nearly half of its workforce comprised of people with disabilities.</t>
  </si>
  <si>
    <t>http://www.businessnorth.com/around_the_region/mdi-adds-jobs-at-locations-across-minnesota/article_55ade4cc-9017-11e8-b07c-cf648dee56b9.html</t>
  </si>
  <si>
    <t>1700 Wynne Ave</t>
  </si>
  <si>
    <t>Lakeview Industries</t>
  </si>
  <si>
    <t>Lakeview Industries, Inc. of Chaska wants to move its entire business to the city of Carver. The company intends to build a new home on about 42.5 acres north of the Mills Fleet Farm store and Levi Griffin Road and east of a Carver water tower. Proposed project involves initial construction of 143,000 square feet of space to house warehousing and manufacturing with potential for additional expansion and a second building. 2/4/2019 per DEED update: IBDPI Grant $977,132. 31 new jobs, retain 90</t>
  </si>
  <si>
    <t>https://www.swnewsmedia.com/chaska_herald/news/business/chaska-s-lakeview-industries-looks-to-relocate-to-carver/article_9a1c2ddc-f972-5db4-b762-bf23bb7805c5.html</t>
  </si>
  <si>
    <t>1225 Lakeview Dr</t>
  </si>
  <si>
    <t>BDPI-Innovative</t>
  </si>
  <si>
    <t>977134</t>
  </si>
  <si>
    <t>Circles</t>
  </si>
  <si>
    <t>Mayo Clinic is gearing up to offer new concierge services to its Middle Eastern patients by contracting with a subsidiary of France-based Sodexo. This new contract, which will start in October. Circles, a global concierge service provider and part of the Sodexo Group, a world leader in Quality of Life Services, today announces the official opening of a new office in Rochester, MN to support our growing healthcare business.</t>
  </si>
  <si>
    <t>https://www.postbulletin.com/news/heard_on_the_street/heard-on-the-street-mayo-contracts-concierge-services-for-middle/article_e2ff9d5c-9445-11e8-bdb1-c755af3168f8.html AND https://www.biospace.com/article/releases/circles-a-sodexo-company-opens-minnesota</t>
  </si>
  <si>
    <t>Sodexo</t>
  </si>
  <si>
    <t>Guyancourt</t>
  </si>
  <si>
    <t>France</t>
  </si>
  <si>
    <t>Donaldson Co</t>
  </si>
  <si>
    <t>Through a partnership with Normandale Community College, a three-phase advanced manufacturing training and development program will be customized for 800 employees, 40 of them new. In phase one, trainees will receive awareness training about the organization, its strategic direction, diverse cultures, products and quality expectations. Phase two will help employees develop and apply skills in filtration technologies, quality foundations, Six Sigma, Lean, auditor fundamentals, etc.</t>
  </si>
  <si>
    <t>https://mn.gov/deed/newscenter/press-releases/?id=347440</t>
  </si>
  <si>
    <t>1400 W 94th St</t>
  </si>
  <si>
    <t>Immunochemistry Technologies LLC</t>
  </si>
  <si>
    <t>ImmunoChemistry Technologies is a specialized bioscience business. Nine employees, including one new hire, will receive customized training in ISO 9001, OSHA 10 Safety and Hazardous Material Handling, and internal auditor training. MJSP Award $49,338</t>
  </si>
  <si>
    <t>9401 James Ave S Ste 155</t>
  </si>
  <si>
    <t>M&amp;M Precision Machining</t>
  </si>
  <si>
    <t>Elk River</t>
  </si>
  <si>
    <t>M&amp;M Machining offers a line of machining options, including milling, turning, drill presses, exterior processes, finishing and Swiss machining for the military and medical and aerospace industries. All 37 employees, two of them new, will participate in Advanced Blueprint Reading and Inspection, Advanced Kaizen, and Problem Solving. MJSP 49,814</t>
  </si>
  <si>
    <t>12797 Meadowvale Rd</t>
  </si>
  <si>
    <t>TLC Electronics</t>
  </si>
  <si>
    <t>Mahtomedi</t>
  </si>
  <si>
    <t>TLC Electronics, a first-time applicant for MJSP funding, is a value-added manufacturer and distributor. Funding will enable the company to develop training in advanced technologies to expand their customer base to include medical device manufacturers. Training will be developed and delivered to 63 employees, 20 of them new. MJSP Funding $49.975</t>
  </si>
  <si>
    <t>18 Long Lake Rd</t>
  </si>
  <si>
    <t>Atomic Data LLC</t>
  </si>
  <si>
    <t>IT company Atomic Data has moved 80 employees from the North Loop to Marquette Plaza, where it now occupies 58,000 square feet. The firm, which has been in the North Loop for 12 years, had outgrown its space at 615 N. Third St. The 80 employees will join 85 others who already work in Marquette Plaza. Atomic Data is leasing an additional 30,000 square feet on the 11th floor in addition to the 28,000 it already leases in the building, which is at 250 Marquette Ave</t>
  </si>
  <si>
    <t>Data Processing, Hosting</t>
  </si>
  <si>
    <t>https://www.bizjournals.com/twincities/news/2018/08/07/atomic-data-outgrows-north-loop-expands-downtown.html; http://bit.ly/2niwVC3</t>
  </si>
  <si>
    <t>250 Marquette Ave</t>
  </si>
  <si>
    <t>Vireo Health</t>
  </si>
  <si>
    <t>Vireo Health Inc., the parent company of medical cannabis businesses in New York, Pennsylvania and Minnesota, is nearing the end of a $17.25 million financing round intended to fund expansion efforts and launch an initial public offering. Vireo, which runs MinnMed, the only other operator outside of LeafLine Labs that is approved to sell medical cannabis products in Minnesota, expects the new capital will lead to hundreds of new jobs across its locations, with at least 50 new jobs in MN.</t>
  </si>
  <si>
    <t>http://tcbmag.com/news/articles/2018/august/vireo-health-s-17m-round-will-fund-expansion-50-new-jobs-in-mn-ipo-in-canada</t>
  </si>
  <si>
    <t>207 South 9th St</t>
  </si>
  <si>
    <t>ClickSWITCH</t>
  </si>
  <si>
    <t>Tech startup ClickSwitch Holdings Inc., which aims to make it easier for people to move bank accounts from one financial institution to another, will ramp up hiring after closing on $3.5 million in financing. ClickSwitch sells its application to banks and credit unions, which then offer it to customers. The company has about 350 customers and roughly 30 employees. It expects to double its staff by the end of the year.</t>
  </si>
  <si>
    <t>244 N 1st Ave North Ste 100</t>
  </si>
  <si>
    <t>WhirlyBall</t>
  </si>
  <si>
    <t>Five years ago Nick Lambrecht turned a failed Maple Grove movie theater into the first WhirlyBall center in the Twin Cities. Now, Lambrecht is starting construction on a second venue, in Bloomington. The new center will be bigger, more elaborate. Lambrecht estimates the 39,000-square-foot center will cost more than $10 million, including the site acquisition ($2.5 million).</t>
  </si>
  <si>
    <t>https://finance-commerce.com/2018/08/just-sold-whirlyball-center-planned-near-mall-of-america/</t>
  </si>
  <si>
    <t>2415 E Old Shakopee Rd</t>
  </si>
  <si>
    <t>Takeda Pharmaceuticals</t>
  </si>
  <si>
    <t>The plant is owned by Japanese drugmaker Takeda Pharmaceuticals International Co., one of the 20 biggest drug companies in the world. Takeda has been working for years to bring a sophisticated facility online in Brooklyn Park that will become its first U.S. manufacturing site and also serve as a corporate center of excellence. Takeda employs about 30,000 people worldwide, including 220 in Minnesota, which could locally grow to 250.</t>
  </si>
  <si>
    <t>http://www.startribune.com/takeda-is-banking-on-a-supertarget-sized-biologic-plant-in-brooklyn-park/490604121/</t>
  </si>
  <si>
    <t>9450 Winnetka Ave N</t>
  </si>
  <si>
    <t>Takeda Pharmaceutical Company Ltd</t>
  </si>
  <si>
    <t>Osaka</t>
  </si>
  <si>
    <t>Japan</t>
  </si>
  <si>
    <t>Riverview LLP</t>
  </si>
  <si>
    <t>Morris</t>
  </si>
  <si>
    <t>Stevens</t>
  </si>
  <si>
    <t>Amid low milk prices and a trade war threatening exports, Riverview is placing massive bets: $50 million in construction and startup costs for each new dairy. Riverview is building a new dairy in Swenoda Township, a few miles west of the Louriston Dairy, that will also supply the Agropur expansion at Lake Norden, SD. Agropur is tripling its capacity by early next year.</t>
  </si>
  <si>
    <t>Agriculture</t>
  </si>
  <si>
    <t>http://www.startribune.com/milking-cows-on-an-industrial-scale-arrives-in-western-minnesota-and-some-farmers-shudder/490589351/</t>
  </si>
  <si>
    <t>26406 470th Ave</t>
  </si>
  <si>
    <t>Sansoro Health</t>
  </si>
  <si>
    <t>Health-IT company Sansoro Health Inc. has closed on $8 million in venture capital as it ramps up hiring and starts pitching its products to insurers. Boston-based venture capital firm LRVHealth led the round of funding. Minneapolis-based Sansoro makes Emissary, a software application that integrates disparate electronic medical records systems. The company has about 38 employees, and expects the company's staff to double again over the next year.</t>
  </si>
  <si>
    <t>https://www.bizjournals.com/twincities/news/2018/08/14/health-it-company-sansoro-raises-8-million-steps.html</t>
  </si>
  <si>
    <t>4540 Colfax Ave S</t>
  </si>
  <si>
    <t>WeWork</t>
  </si>
  <si>
    <t>WeWork, the co-working space provider, recently increased its commitment to the eight-story, 198,000-square-foot building at 1330 Lagoon Ave. WeWork initially leased 46,000 square feet late last year, but the company will occupy 102,000 square feet, or 52 percent of the building. WeWork has begun building out its offices in MoZaic East. MoZaic East will be WeWork's largest location in the Twin Cities.</t>
  </si>
  <si>
    <t>https://finance-commerce.com/2018/08/wework-doubles-space-in-uptowns-mozaic-east/</t>
  </si>
  <si>
    <t>1300 Lagoon Ave</t>
  </si>
  <si>
    <t>New York</t>
  </si>
  <si>
    <t>NY</t>
  </si>
  <si>
    <t>Accredited Investors</t>
  </si>
  <si>
    <t>Edina</t>
  </si>
  <si>
    <t>2018 Best Places to Work, Mpls St Paul Business Journal. Business: Independent, fee-only wealth management firm. QUESTION How many people will you hire this year, and what do you look for in a prospective employee? ANSWER We expect to hire roughly five new people.</t>
  </si>
  <si>
    <t>https://www.bizjournals.com/twincities/news/2018/08/16/best-places-to-work-2018-accredited-investors-inc.html</t>
  </si>
  <si>
    <t>5200 W 73rd St</t>
  </si>
  <si>
    <t>Agosto Inc</t>
  </si>
  <si>
    <t>2018 Best Places to Work, Mpls St Paul Business Journal. Business: Cloud software application developer.  QUESTION How many people will you hire this year, and what do you look for in a prospective employee? ANSWER Agosto will hire between 10 and 20 new employees in 2018.</t>
  </si>
  <si>
    <t>https://www.bizjournals.com/twincities/news/2018/08/16/best-places-to-work-2018-agosto-inc.html</t>
  </si>
  <si>
    <t>420 5th St N Ste 400</t>
  </si>
  <si>
    <t>AIM Consulting</t>
  </si>
  <si>
    <t>2018 Best Places to Work, Mpls St Paul Business Journal. Business: Technology consulting services company. QUESTION How many people will you hire this year, and what do you look for in a prospective employee? ANSWER We expect to hire over 20 additional AIMers this year</t>
  </si>
  <si>
    <t>https://www.bizjournals.com/twincities/news/2018/08/16/best-places-to-work-2018-aim-consulting.html</t>
  </si>
  <si>
    <t>6600 France Ave S Ste 245</t>
  </si>
  <si>
    <t>Aquarius Home Services</t>
  </si>
  <si>
    <t>Little Canada</t>
  </si>
  <si>
    <t>2018 Best Places to Work, Mpls St Paul Business Journal. Business: Provide heating, cooling, electrical, plumbing and water treatment services. QUESTION How many people will you hire this year, and what do you look for in a prospective employee? ANSWER Anywhere from 10 to 50, never put a limit on great people!</t>
  </si>
  <si>
    <t>https://www.bizjournals.com/twincities/news/2018/08/16/best-places-to-work-2018-aquarius-home-services.html</t>
  </si>
  <si>
    <t>3182 Country Dr</t>
  </si>
  <si>
    <t>Carrousel Travel</t>
  </si>
  <si>
    <t>Richfield</t>
  </si>
  <si>
    <t>2018 Best Places to Work, Mpls St Paul Business Journal. Business: Full-service travel management company . QUESTION How many people will you hire this year? ANSWER Three to five</t>
  </si>
  <si>
    <t>Admin, Support Services</t>
  </si>
  <si>
    <t>https://www.bizjournals.com/twincities/news/2018/08/16/best-places-to-work-2018-carrousel-travel.html</t>
  </si>
  <si>
    <t>6625 Lyndale Ave S #104</t>
  </si>
  <si>
    <t>Creative Homes</t>
  </si>
  <si>
    <t>Woodbury</t>
  </si>
  <si>
    <t>2018 Best Places to Work, Mpls St Paul Business Journal. Business: residential construction. QUESTION How many people will you hire this year? ANSWER We will hire 20-plus this year.</t>
  </si>
  <si>
    <t>https://www.bizjournals.com/twincities/news/2018/08/16/best-places-to-work-2018-creative-homes-inc.html</t>
  </si>
  <si>
    <t>707 Commerce Dr Ste 410</t>
  </si>
  <si>
    <t>Ergodyne (Tenacious Holdings)</t>
  </si>
  <si>
    <t>2018 Best Places to Work, Mpls St Paul Business Journal. Business: Provides workers with safety gear and training solutions. QUESTION How many people will you hire this year? ANSWER Three to four</t>
  </si>
  <si>
    <t>https://www.bizjournals.com/twincities/news/2018/08/16/best-places-to-work-2018-ergodyne.html</t>
  </si>
  <si>
    <t>1021 Bandana Blvd E #220</t>
  </si>
  <si>
    <t>Excelsior Group LLC</t>
  </si>
  <si>
    <t>2018 Best Places to Work, Mpls St Paul Business Journal. Business: Full-service boutique real estate firm. QUESTION How many people will you hire this year, and what do you look for in a prospective employee? ANSWER We will add 50 new jobs during 2018.</t>
  </si>
  <si>
    <t>https://www.bizjournals.com/twincities/news/2018/08/16/best-places-to-work-2018-the-excelsior-group.html</t>
  </si>
  <si>
    <t>1660 MN 100 Ste 400</t>
  </si>
  <si>
    <t>Flipgrid</t>
  </si>
  <si>
    <t>CEO Jim Leslie is continuing as the boss at Flipgrid, in the wake of its acquisition this summer by the education division of huge Microsoft. "I and the entire team are in Minneapolis making Flipgrid the best student voice platform we and our educator community can imagine," Leslie said in an e-mail message. "Our team of 22 Flipgrid employees is expanding in Minneapolis. We're adding engineers and designers right now!"</t>
  </si>
  <si>
    <t>http://www.startribune.com/flipgrid-plans-to-expand-under-microsoft/490912121/</t>
  </si>
  <si>
    <t>251 N 1st Ave Ste 500</t>
  </si>
  <si>
    <t>Gardner Builders</t>
  </si>
  <si>
    <t>2018 Best Places to Work, Mpls St Paul Business Journal. Business: General Contractor. QUESTION How many people will you hire this year, and what do you look for in a prospective employee? ANSWER: Currently, we are planning to add around 20 team members across our three offices in Minneapolis, Duluth and Milwaukee. (Estimate MN share at 15 out of 20)</t>
  </si>
  <si>
    <t>https://www.bizjournals.com/twincities/news/2018/08/16/best-places-to-work-2018-gardner-builders.html</t>
  </si>
  <si>
    <t>2 W 1st St #133</t>
  </si>
  <si>
    <t>Gillette Children's Specialty Healthcare</t>
  </si>
  <si>
    <t>2018 Best Places to Work, Mpls St Paul Business Journal. Business: Pediatric specialty health care.QUESTION  How many people will you hire this year, and what do you look for in a prospective employee? ANSWER Gillette will hire about 200 employees this year</t>
  </si>
  <si>
    <t>https://www.bizjournals.com/twincities/news/2018/08/16/best-places-to-work-2018-gillette-childrens.html</t>
  </si>
  <si>
    <t>200 University Ave E</t>
  </si>
  <si>
    <t>Intertech Training</t>
  </si>
  <si>
    <t>2018 Best Places to Work, Mpls St Paul Business Journal. Business: Software development consulting and training firm. QUESTION  How many people will you hire this year? ANSWER 20</t>
  </si>
  <si>
    <t>https://www.bizjournals.com/twincities/news/2018/08/16/best-places-to-work-2018-intertech-inc.html</t>
  </si>
  <si>
    <t>1020 Discovery Rd</t>
  </si>
  <si>
    <t>LeaderOne Financial</t>
  </si>
  <si>
    <t>2018 Best Places to Work, Mpls St Paul Business Journal. Business: Mortgage lender. QUESTION  How many people will you hire this year, and what do you look for in a prospective employee? ANSWER On average we hire five to 10 employees per year.</t>
  </si>
  <si>
    <t>https://www.bizjournals.com/twincities/news/2018/08/16/best-places-to-work-2018-leaderone-financial-corp.html</t>
  </si>
  <si>
    <t>800 Washington Ave N Ste 901</t>
  </si>
  <si>
    <t>Loffler Companies</t>
  </si>
  <si>
    <t>2018 Best Places to Work, Mpls St Paul Business Journal. Business: Professional services organization providing managed IT, office technologies and services. QUESTION  How many people will you hire this year, and what do you look for in a prospective employee? ANSWER As we grow at a double-digit rate, our hiring will follow, so likely 50 to 100 team members.</t>
  </si>
  <si>
    <t>https://www.bizjournals.com/twincities/news/2018/08/16/best-places-to-work-2018-loffler-cos-inc.html</t>
  </si>
  <si>
    <t>1101 E 78th St; Ste 200</t>
  </si>
  <si>
    <t>Marco Inc</t>
  </si>
  <si>
    <t>2018 Best Places to Work, Mpls St Paul Business Journal. Business: Specializes in copiers and printers, business IT services, document management, and audio/video systems. QUESTION  How many people will you hire this year, and what do you look for in a prospective employee? ANSWER Approximately 200 employees will be hired in 2018</t>
  </si>
  <si>
    <t>https://www.bizjournals.com/twincities/news/2018/08/16/best-places-to-work-2018-marco.html</t>
  </si>
  <si>
    <t>4510 Heatherwood Rd</t>
  </si>
  <si>
    <t>Mayo Clinic Health System</t>
  </si>
  <si>
    <t>Austin</t>
  </si>
  <si>
    <t>Mower</t>
  </si>
  <si>
    <t>Mayo Clinic Health System announced Thursday that a new birthing center will be built at the Austin campus by 2020. An $11.2 million investment, the new family birthing center will be an expansion in the third-floor space where the Women's Special Care Unit is currently.</t>
  </si>
  <si>
    <t>http://bit.ly/2MkDzXb, http://tcbmag.com/news/articles/2018/august/mayo-clinic-in-austin-adding-family-birth-center</t>
  </si>
  <si>
    <t>1000 First Dr NW</t>
  </si>
  <si>
    <t>Meritex Enterprises</t>
  </si>
  <si>
    <t>2018 Best Places to Work, Mpls St Paul Business Journal. Business: industrial real estate. How many people will you hire this year, and what do you look for in a prospective employee? For 2018-2019, we plan to hire about eight individuals.</t>
  </si>
  <si>
    <t>520 Lafayette Rd</t>
  </si>
  <si>
    <t>Nina Hale</t>
  </si>
  <si>
    <t>2018 Best Places to Work, Mpls St Paul Business Journal. Business: Digital marketing agency. QUESTION  How many people will you hire this year, and what do you look for in a prospective employee? ANSWER The agency has seen consistent year-over-year growth and expects to continue that growth in the coming year. We have already hired nine people in 2018 and plan to hire several more by the end of the year.</t>
  </si>
  <si>
    <t>https://www.bizjournals.com/twincities/news/2018/08/16/best-places-to-work-2018-nina-hale-inc.html</t>
  </si>
  <si>
    <t>100 South 5th St Ste 2000</t>
  </si>
  <si>
    <t>NovuHealth</t>
  </si>
  <si>
    <t>Business: Consumer engagement company for the health care industry. QUESTION  How many people will you hire this year, and what do you look for in a prospective employee? ANSWER NovuHealth plans to increase its employee population by about 35 percent this year. MN Employees: 157</t>
  </si>
  <si>
    <t>https://www.bizjournals.com/twincities/news/2018/08/16/best-places-to-work-2018-novuhealth.html</t>
  </si>
  <si>
    <t>5401 Gamble Dr</t>
  </si>
  <si>
    <t>Persolvent</t>
  </si>
  <si>
    <t>St Paul Park</t>
  </si>
  <si>
    <t>Business: Provides payment-processing technologies. QUESTION  How many people will you hire this year, and what do you look for in a prospective employee? ANSWER We estimate about six to 10 people will be hired this year. 2018 Best Places to Work, MSP Business Journal</t>
  </si>
  <si>
    <t>https://www.bizjournals.com/twincities/news/2018/08/16/best-places-to-work-2018-persolvent.html</t>
  </si>
  <si>
    <t>940 Hastings Ave</t>
  </si>
  <si>
    <t>phData</t>
  </si>
  <si>
    <t>Business: Big data consulting and managed services firm. QUESTION  How many people will you hire this year, and what do you look for in a prospective employee? ANSWER With growth and expansion across all our divisions, our targeted hiring plan for the remainder of 2018 includes 20 additional hires 2018 Best Places to Work, Mpls St Paul Business Journal</t>
  </si>
  <si>
    <t>https://www.bizjournals.com/twincities/news/2018/08/16/best-places-to-work-2018-phdata-inc.html</t>
  </si>
  <si>
    <t>400 S 4th St Ste 401</t>
  </si>
  <si>
    <t>Ramboll</t>
  </si>
  <si>
    <t>Ramboll has opened a new office in Minneapolis, Minnesota, and announced several senior-level appointments in its Americas Division. Based in a new office in Minneapolis, Minnesota, Todd Renville brings decades of consulting experience in due diligence, subsurface investigation, property redevelopment, contaminant hydrogeology, risk-based corrective action (RBCA), remediation and environmental construction management with a focus on large-scale transportation and public works projects.</t>
  </si>
  <si>
    <t>https://www.marketwatch.com/press-release/ramboll-opens-mexico-city-and-minneapolis-offices-announces-americas-division-senior-hires-2018-08-16</t>
  </si>
  <si>
    <t>1650 West End Blvd Ste 100</t>
  </si>
  <si>
    <t>Slalom Consulting</t>
  </si>
  <si>
    <t>Business: Consulting firm. QUESTION  How many people will you hire this year, and what do you look for in a prospective employee? ANSWER We expect to hire about 60 people this year 2018 Best Places to Work, Mpls St Paul Business Journal</t>
  </si>
  <si>
    <t>https://www.bizjournals.com/twincities/news/2018/08/16/best-places-to-work-2018-slalom.html</t>
  </si>
  <si>
    <t>100 S Fifth St 19th floor</t>
  </si>
  <si>
    <t>Slalom Consulting - HQ</t>
  </si>
  <si>
    <t>Seattle</t>
  </si>
  <si>
    <t>SportsEngine</t>
  </si>
  <si>
    <t>QUESTION  How many people will you hire this year, and what do you look for in a prospective employee? ANSWER Our business has been growing exponentially over the past several years, and we expect to continue to hire talented people for the foreseeable future. 2018 Best Places to Work, MSP Business Journal</t>
  </si>
  <si>
    <t>https://www.bizjournals.com/twincities/news/2018/08/16/best-places-to-work-2018-sportsengine.html</t>
  </si>
  <si>
    <t>1400 Van Buren St NE</t>
  </si>
  <si>
    <t>Verus Corp</t>
  </si>
  <si>
    <t>Business: Network infrastructure management and strategic IT consulting company. QUESTION  How many people will you hire this year? ANSWER Three to four 2018 Best Places to Work, MSP Business Journal</t>
  </si>
  <si>
    <t>https://www.bizjournals.com/twincities/news/2018/08/16/best-places-to-work-2018-verus-corp.html</t>
  </si>
  <si>
    <t>6279 University Ave NE</t>
  </si>
  <si>
    <t>Napco International LLC</t>
  </si>
  <si>
    <t>Defense contractor NAPCO International could be moving to Brooklyn Park with help from a city tax-increment financing package. Developer Scannell Properties wants to construct a 75,000-square-foot industrial building on a vacant piece of land at 9200 75th Ave. N. for NAPCO, which services and manufacturers military equipment. The city is considering a proposal of $500,000 in TIF. project cost $5.6 million. If approved, 51 jobs relocated from Hopkins to Brooklyn Park. Nov 2018: $110K JCF</t>
  </si>
  <si>
    <t>https://www.bizjournals.com/twincities/news/2018/08/20/defense-contractor-would-move-from-hopkins-to.html</t>
  </si>
  <si>
    <t>11055 Excelsior Blvd</t>
  </si>
  <si>
    <t>NextGEN RF Design</t>
  </si>
  <si>
    <t>The North Mankato Port Authority approved a $300,000 loan to the radio engineering firm to apply to buying a bldg for $1.3 million. NextGen RF Design will move from Waseca to a 11,700 SF building at 2130 Howard Dr. The company already has secured $600,000 in equity and bank loans but needed another $300,000 to complete the purchase and make minor renovations. Tholen said the company has plans to move this fall. Currently:12 employees. Plan to add 8-10 jobs, 3 yrs.Minor renovation cost: $1,300.</t>
  </si>
  <si>
    <t>http://www.mankatofreepress.com/news/local_news/n-mankato-oks-k-loan-for-incoming-business/article_4f7c493e-a4dc-11e8-b7be-3bdb636e79b4.html</t>
  </si>
  <si>
    <t>2130 Howard Dr</t>
  </si>
  <si>
    <t>Alorica</t>
  </si>
  <si>
    <t>Alorica Inc. is hiring 550 people to work at its Mendota Heights call center, a move that will more than double the global firm's presence in the Twin Cities. The expansion comes thanks to a new client, a travel company, as well as existing health care clients that are growing, said Alorica Senior Site Director Kevin Greer. He would not identify the client, but said it's not a locally based company. Currently 350 staff. Star Tribune NOV 2018 Update: Hiring for 300 new positions.</t>
  </si>
  <si>
    <t>Call Center</t>
  </si>
  <si>
    <t>https://www.bizjournals.com/twincities/news/2018/08/21/call-center-adding-550-jobs-in-mendota-heights.html</t>
  </si>
  <si>
    <t>1500 Commerce Dr</t>
  </si>
  <si>
    <t>Boston Consulting Group</t>
  </si>
  <si>
    <t>The Boston Consulting Group's new downtown Minneapolis office uses natural materials like wood and moss to impart an up-north feel while staying true to the refined theme of the global company. It also more than doubles the space of the firm's local operations, with plans for future growth in mind. The new office is about 20,000 square feet; the company's last space was about 9,000.</t>
  </si>
  <si>
    <t>https://www.bizjournals.com/twincities/news/2018/08/21/cool-offices-boston-consulting-groups-downtown.html</t>
  </si>
  <si>
    <t>60 South 6th St Ste 2300</t>
  </si>
  <si>
    <t>Recombinetics Inc</t>
  </si>
  <si>
    <t>Gene-editing startup Recombinetics Inc. has closed on $34 million in funding that will go partly toward accelerating development of its "oinkubator" technology, which could eventually let scientists grow human organs inside pigs. Recombinetics uses gene-editing technology to customize animals for the agribusiness and biomedical markets. In addition to R&amp;D, the company will also apply raised capital toward hiring scientists, and sales and marketing people. Plans to expand lab, other facilities</t>
  </si>
  <si>
    <t>https://www.bizjournals.com/twincities/news/2018/08/21/recombinetics-raises-34m-for-oinkubators-hiring.html</t>
  </si>
  <si>
    <t>1246 University Ave W Ste 301</t>
  </si>
  <si>
    <t>Smude Enterprises LLC</t>
  </si>
  <si>
    <t>Pierz</t>
  </si>
  <si>
    <t>Morrison</t>
  </si>
  <si>
    <t>Tom and Jenni Smude plan to expand their manufacturing facility to 75,000 square feet. Sales of Smude's Sunflower Oil, including increased demand for bulk oil from high-end pet-food manufacturers, and a separate year-old microwave popcorn product, should increase revenue this year by more than 50% to around $5 million, on the heels of 60% growth in 2017. Plant expansion and additional sales should add 10 jobs. MIF Award $300K to related entity Midwest Processors.</t>
  </si>
  <si>
    <t>http://www.startribune.com/smude-s-sunflower-oil-is-doubling-down-on-big-expansion-in-little-pierz-minn/491158441/</t>
  </si>
  <si>
    <t>25804 173rd St</t>
  </si>
  <si>
    <t>Midwest Processors</t>
  </si>
  <si>
    <t>Urotronic</t>
  </si>
  <si>
    <t>Urotronic Inc., a startup launched by med-tech inventor and Lutonix Inc. co-founder Lixiao Wang, has closed on $20 million in venture capital to fund clinical studies and ramp up hiring. Plymouth-based Urotronic plans to devote the capital partly toward roughy doubling its 14-person staff, said company President David Perry. The $20 million raised by Urotronic will be used to expand the company's staff and manufacturing space and to complete the clinical trials</t>
  </si>
  <si>
    <t>https://www.bizjournals.com/twincities/news/2018/08/22/med-tech-startup-urotronic-raises-20-million-for.html; http://www.startribune.com/urotronic-raises-20m-to-complete-device-trials-expand-manufacturing/491848161/</t>
  </si>
  <si>
    <t>13705 26th Ave North Ste 102</t>
  </si>
  <si>
    <t>Euram</t>
  </si>
  <si>
    <t>A large Hawaii-based coffee roaster is looking to acquire to a slice of the old Hamm's brewery complex directly overlooking the northern edge of Swede Hollow in St. Paul -- and, if things go well, open a top-floor café overlooking the park. Euram Inc., which does business as Hawaiian Paradise Coffee, is looking to renovate the dilapidated 30,000-square-foot building at 680 Minnehaha Avenue and turn it into a production and distribution front.</t>
  </si>
  <si>
    <t>https://www.twincities.com/2018/08/22/hawaii-coffee-maker-looking-to-acquire-hamms-building-in-st-paul-and-maybe-add-a-cafe/; http://www.startribune.com/buyer-wants-to-roast-hawaiian-coffee-beans-in-building-where-hamm-s-dried-grain/492120611/</t>
  </si>
  <si>
    <t>680 Minnehaha</t>
  </si>
  <si>
    <t>Community Performing Arts Center</t>
  </si>
  <si>
    <t>A proposed amphitheater on the Mississippi riverfront at the Upper Harbor Terminal in North Minneapolis is taking shape with updated renderings and plans. First Avenue will operate the new venue. The Upper Harbor Terminal Community Performing Arts Center (CPAC) would sit on the river just two miles north of downtown. A steel structure called ?the Gantry? would hold a majority of CPAC?s 6,000 fixed seats, and open space for 4,000 additional people. Est. 269 operations jobs, 559 construction jobs.</t>
  </si>
  <si>
    <t>https://blog.thecurrent.org/2018/08/seeing-stars-first-avenues-proposed-minneapolis-riverfront-amphitheater-moves-forward/</t>
  </si>
  <si>
    <t>North 2nd St</t>
  </si>
  <si>
    <t>First Avenue</t>
  </si>
  <si>
    <t>Hydra-Flex</t>
  </si>
  <si>
    <t>Savage</t>
  </si>
  <si>
    <t>MIF $300K, 75 new jobs, $1.2 million investment, JCF $700K (Could not find other public info or details in August. But see 11/21/18 Company news.)</t>
  </si>
  <si>
    <t>980 Lone Oak Rd Ste 128</t>
  </si>
  <si>
    <t>Skywater Technology Foundry</t>
  </si>
  <si>
    <t>One of Minnesota's handful of chipmakers, SkyWater Technology, was recently selected by the Defense Advanced Research Projects Agency, or DARPA, to work with it and MIT on one of the most promising ideas to keep pushing chip designs and computing forward. The Bloomington company for the next three years will help DARPA and MIT engineer and test processes to manufacture chips that have circuitry on more than one plane. SkyWater is growing; nearly 100 employees have been added since last year</t>
  </si>
  <si>
    <t>http://www.startribune.com/at-skywater-a-project-with-darpa-could-reshape-the-fortunes-of-a-minnesota-chip-factory/491645971/</t>
  </si>
  <si>
    <t>2401 E 86th St</t>
  </si>
  <si>
    <t>OmniTier</t>
  </si>
  <si>
    <t>A Rochester startup co-led by a former IBM and Mayo Clinic computer scientist is getting ready to roll out a new technology platform aimed at speeding up and lowering the cost of whole-genome sequencing, seen as a key step toward the widespread adoption of personalized medicine. CompStor uses a unique, tiered memory configuration. Chief Technology Officer Jon Coker said the three-year-old firm now has 15 employees and is actively hiring as it prepares to roll out CompStor to new customers.</t>
  </si>
  <si>
    <t>http://tcbmag.com/news/articles/2018/august/rochester-startup-omnitier-looks-to-speed-up-whole-genome-sequencing</t>
  </si>
  <si>
    <t>2720 Superior Dr NW Ste 101</t>
  </si>
  <si>
    <t>Planned Parenthood</t>
  </si>
  <si>
    <t>Planned Parenthood leaders expect the patient load will eventually triple at its Uptown Minneapolis location after a new clinic is completed in late 2019 or early 2020. The project is already well along in its development. Planned Parenthood is proposing a three-story, 58,400-square-foot clinic at 1210 Lagoon Ave., the site of its one-story clinic for more than 20 years. Davis Group will develop the $14 million project, but PP will own the completed building.</t>
  </si>
  <si>
    <t>1200 Lagoon Ave</t>
  </si>
  <si>
    <t>Manhattan</t>
  </si>
  <si>
    <t>Vomela</t>
  </si>
  <si>
    <t>Vomela Companies will build a new corporate headquarters on 3M's former campus on the east side of St. Paul. The new 300,000-square-foot building will allow the specialty graphics services firm to consolidate four Twin Cities facilities into one location. About 252,000 SF of production space; 47,500 of office space. New space will bring more than 300 Minnesota employees under one roof for the first time. Expected completion 2019</t>
  </si>
  <si>
    <t>http://www.startribune.com/vomela-companies-starts-construction-on-new-st-paul-headquarters/491897181/; https://www.bizjournals.com/twincities/news/2018/08/27/vomela-building-300-000-square-foot-hq-at-site-of.html</t>
  </si>
  <si>
    <t>274 Fillmore Ave E</t>
  </si>
  <si>
    <t>2018-Q4</t>
  </si>
  <si>
    <t>Carlson Companies</t>
  </si>
  <si>
    <t>Carlson is planning a multimillion dollar upgrade to its 30-year-old Minnetonka office tower and is opening 58,000 SF of its longtime headquarters building to other tenants. The gold-colored tower at 701 Carlson Pkwy. is one of two along Interstate 394 and still houses Carlson?s Wagonlit Travel business as well as other family businesses. Renovation will begin this fall and wrap up in 2020. DEED JCF Award $450,000 (2/2019)</t>
  </si>
  <si>
    <t>https://www.bizjournals.com/twincities/news/2018/09/04/carlson-will-renovate-minnetonka-tower-opening.html</t>
  </si>
  <si>
    <t>701 Carlson Pky</t>
  </si>
  <si>
    <t>Associated Milk Producers Inc</t>
  </si>
  <si>
    <t>Paynesville</t>
  </si>
  <si>
    <t>Stearns</t>
  </si>
  <si>
    <t>AMPI is currently upgrading its Paynesville, Minn., plant to incorporate new vats and other cheesemaking equipment. The project will increase cheese production from 2.4 million pounds a day to 3 million pounds a day, Sr VP of Operations Mike Wolkow said. The production of whey protein concentrate, 34 and 80, will increase as well. (Per DEED BDPI award to Paynesville in 2019 - 3 new jobs, 82 retained jobs)</t>
  </si>
  <si>
    <t>https://www.dairyfoods.com/articles/93115-ampi---the-powerhouse-behind-the-dairy-brands</t>
  </si>
  <si>
    <t>200 Railroad St</t>
  </si>
  <si>
    <t>New Ulm</t>
  </si>
  <si>
    <t>OpenDoor</t>
  </si>
  <si>
    <t>Open Door Labs Inc., a San Francisco-based real estate technology startup, operates in 13 markets across the country; the Twin Cities, the latest market, will see an official launch next week. Opendoor says it can provide sellers an offer on their homes in under 48 hours, assuming the sellers provide basic details about the home. It makes money by charging on average a 6.5 percent fee on the sale. Opendoor has hired eight employees to direct the expansion, and is recruiting seven more in Mpls</t>
  </si>
  <si>
    <t>https://www.bizjournals.com/twincities/news/2018/09/06/what-opendoor-brings-to-twin-cities-new-tech-deep.html</t>
  </si>
  <si>
    <t>San Francisco</t>
  </si>
  <si>
    <t>CA</t>
  </si>
  <si>
    <t>Minnetronix Medical Inc</t>
  </si>
  <si>
    <t>Minnetronix, a 22-year-old medical technology business based in St. Paul, has long specialized as a contract manufacturer, building med-tech devices designed by other firms. It's now growing beyond that role with a new product developed in-house. Minnetronix has opened a new, 125,000-square-foot engineering and manufacturing space. It's undergone a modest rebranding, renaming as Minnetronix Medical. Update 2/4/2019 Per DEED: 89 new jobs, 287 retained IBDPI grant to St. Paul $587,881 for pkg lot</t>
  </si>
  <si>
    <t>https://www.bizjournals.com/twincities/news/2018/09/10/contract-manufacturer-minnetronix-has-a-new-med.html</t>
  </si>
  <si>
    <t>MSP Business Journal</t>
  </si>
  <si>
    <t>1635 Energy Park Dr</t>
  </si>
  <si>
    <t>BDPI-Innovative ($858K), JCF ($500K), MIF ($500K)</t>
  </si>
  <si>
    <t>=1857881</t>
  </si>
  <si>
    <t>4C Medical Technologies</t>
  </si>
  <si>
    <t>Med-tech startup 4C Medical Technologies Inc. has closed on a $17 million round of funding that will go toward product development. The business has about 15 employees today and will be adding between six and 10 more over next year. 4C is also hunting for larger digs. The company leases about 2,500 square feet today and will be looking for 20,000 square feet for a new office, CEO Bob Thatcher said.</t>
  </si>
  <si>
    <t>https://www.bizjournals.com/twincities/news/2018/09/11/med-tech-startup-4c-medical-technologies-nabs-17.html</t>
  </si>
  <si>
    <t>7600 Boone Ave N Ste 7</t>
  </si>
  <si>
    <t>Lamppa Manufacturing Inc</t>
  </si>
  <si>
    <t>Tower</t>
  </si>
  <si>
    <t>Lamppa Manufacturing, a producer of wood burning sauna stoves and furnaces, is remaining in Tower but moving its operations into a bigger, newer building through a lease agreement with the city. Its new home will be 9,000 square feet (up from 1,800 SF), allowing for a 500 percent increase in production and the potential to triple or quadruple its staff over the next couple years. Lamppa currently employs eight full-time workers. $1.8 million new bldg will be built. $1.85 million IRRRB loan.</t>
  </si>
  <si>
    <t>http://tcbmag.com/news/articles/2018/september/lamppa-manufacturing-co-expanding-with-move-to-ne</t>
  </si>
  <si>
    <t>512 3rd St S</t>
  </si>
  <si>
    <t>Milk Specialties Global</t>
  </si>
  <si>
    <t>Eden Prairie-based Milk Specilaties Global specializes in isolating the various components in milk and then manufacturing new products for human and animal consumption. Think super milk without sugar, lactose and fat. The company also takes those unhealthy components and manufactures them into products such as animal feed. 2017 revenues were of $747 million, up about $100 million from two years ago. The company has about 200 employees in MN, and looking to hire more at HQ. (Companywide:850)</t>
  </si>
  <si>
    <t>https://www.bizjournals.com/twincities/news/2018/09/14/milk-specialties-global-is-local-but-growing.html</t>
  </si>
  <si>
    <t>7500 Flying Cloud Dr</t>
  </si>
  <si>
    <t>Life Time Work</t>
  </si>
  <si>
    <t xml:space="preserve">Life Time Inc. will open its new coworking concept in the Towers at West End's 1600 building in St. Louis Park. The Chanhassen-based company signed a lease for 28,000 square feet on the ninth floor of the building and will open in early 2019, according to a Life Time spokeswoman. O'Reilly said he thinks Life Time could open 40 to 50 of the coworking spaces in the next five years. </t>
  </si>
  <si>
    <t>1600 Utica Ave S</t>
  </si>
  <si>
    <t>Life Time Inc</t>
  </si>
  <si>
    <t>Chanhassen</t>
  </si>
  <si>
    <t>Bank of America</t>
  </si>
  <si>
    <t>Bank of America Corp. has made substantial inroads into the Twin Cities market as of late after shying away from the area for decades. In 2015, the bank says it was the 80th-largest bank in the Twin Cities based on metro-area deposits. Now it cracks the top 10 with $1.4 billion. Katie Simpson: "In all, we have 14 brick-and-mortar locations. We now have about 500 employees in the market. We're in growth mode in the Twin Cities. I can't give you specific numbers in terms of growth plans."</t>
  </si>
  <si>
    <t>https://www.bizjournals.com/twincities/news/2018/09/20/bank-of-americas-local-market-president-talks.html</t>
  </si>
  <si>
    <t>80 S 8th St STE 266</t>
  </si>
  <si>
    <t>Charlotte</t>
  </si>
  <si>
    <t>NC</t>
  </si>
  <si>
    <t>Blue Star Power Systems</t>
  </si>
  <si>
    <t>Update by DEED. Jobs and Investment data. Confirm previous preliminary plans.</t>
  </si>
  <si>
    <t>Lake Crystal</t>
  </si>
  <si>
    <t>Tech Dump</t>
  </si>
  <si>
    <t>Electronics recycler Tech Dump has reached a deal to buy a 90,000-square-foot building in St. Paul, a move that will more than double the nonprofit's space. Tech dump has 48 employees and wants to double its staff by 2022, the organization said in a news release. Tech Dump, which also provides jobs and training to ex-offenders and people recovering from drug addiction, has signed a purchase agreement to buy the property at 860 Vandalia St. Funds incl: $130K City of St. Paul; $170K city loan</t>
  </si>
  <si>
    <t>http://tcbmag.com/news/articles/2018/september/electronics-recycler-tech-dump-more-than-doubling-in-size-with-expansion-into-st-paul-building</t>
  </si>
  <si>
    <t>698 Prior Ave N</t>
  </si>
  <si>
    <t>JP Ecommerce</t>
  </si>
  <si>
    <t>Columbus</t>
  </si>
  <si>
    <t>JP Ecommerce requests a conditional use permit to allow a production, assembly, warehousing, distribution service facility (Bare Home). Josh Pribyl from Bare Home: ""we are a bedding company. We have our brand of bed sheets,comforters, blankets, mattress pads, that we get manufactured in our brand overseas. The new facility would be a distribution center and showroom. MIF funds $964,500</t>
  </si>
  <si>
    <t>Distribution Center; Retail</t>
  </si>
  <si>
    <t>Warehousing</t>
  </si>
  <si>
    <t>https://www.ci.columbus.mn.us/vertical/sites/%7B3E6BBFCC-1CDD-4B18-AFB1-2CB97872D422%7D/uploads/PC-18-122_and_123_JP_Ecommerce_Plat_and_CUP.pdf</t>
  </si>
  <si>
    <t>Hornsby St</t>
  </si>
  <si>
    <t>Blaine</t>
  </si>
  <si>
    <t>ProVation Medical</t>
  </si>
  <si>
    <t>Health-tech company Provation Medical Inc. is out from under the umbrella of its former long-time Dutch parent company and headed toward the cloud. The maker of medical-documentation software launched as a homegrown Twin Cities startup in the mid-1990s, before Dutch information-services company Wolters Kluwer bought it in 2006. 170 of Provation''s employees were based in Minneapolis' North Loop area. WK sold it in 3/2018. Provation will also add jobs as it ramps up marketing efforts.</t>
  </si>
  <si>
    <t>https://www.bizjournals.com/twincities/news/2018/10/03/independent-once-again-health-tech-company.html</t>
  </si>
  <si>
    <t>800 Washington Ave N #1006</t>
  </si>
  <si>
    <t>3M</t>
  </si>
  <si>
    <t>Brown</t>
  </si>
  <si>
    <t>3M Co. will shut down an electrical plant in Austin, Texas, shifting the work and maybe some jobs to a facility in New Ulm, Minn. announced the plan to close the smaller of two Austin facilities by the end of 2019. The plant employs 120 workers who make copper and fiber connectivity products for the utility sector. 3M's New Ulm facility would take over production, and may add some jobs as it absorbs the extra work. This follows 3M's sale of its fiber &amp; copper cabling mfg business</t>
  </si>
  <si>
    <t>https://www.bizjournals.com/twincities/news/2018/10/04/3m-closing-plant-in-texas-shifting-work-to.html</t>
  </si>
  <si>
    <t>1700 N Minnesota St</t>
  </si>
  <si>
    <t>3M Co</t>
  </si>
  <si>
    <t>Perforce Software</t>
  </si>
  <si>
    <t>Perforce Software will buy Boston area software-testing firm Perfecto Mobile in a deal worth about $200 million. Perfecto adds a critical component to our DevOps capabilities allowing Perforce to deliver more value for large enterprise customers that value scalability and security. The acquisition would be the company's fifth and largest acquisition in the past two years. The acquisition will double Perforce's size and will result in aggressive hiring in Minneapolis and several other areas.</t>
  </si>
  <si>
    <t>http://www.startribune.com/perforce-acquiring-software-testing-firm-in-200-million-deal/496367311/</t>
  </si>
  <si>
    <t>400 First Ave N #200</t>
  </si>
  <si>
    <t>Switchback Medical LLC</t>
  </si>
  <si>
    <t>Medical device design startup Switchback Medical recently opened in a15,000-square-foot space in Maple Grove, Minn. The company offers capabilities in: Finished devices, Balloon catheters, Delivery systems, etc. The company’s facility includees office and tech space for up to 100 employees, an ISO Class 8 controlled-environment clean room, R&amp;D and test labs, a machine shop.</t>
  </si>
  <si>
    <t>HQ, MF</t>
  </si>
  <si>
    <t>https://www.medicaldesignandoutsourcing.com/switchback-medical-debuts-in-twin-cities-metro/</t>
  </si>
  <si>
    <t>11600 96th Ave N</t>
  </si>
  <si>
    <t>Amazon is opening a new sorting facility in Brooklyn Park that will employ 450 people part-time, the retailing giant's latest expansion in the Twin Cities. At Amazon's fulfillment centers, the company fills customer orders from inventory on site. Sorting centers don't carry inventory; they are transshipment sites. The 350,000-square-foot building, the company's fourth delivery-related operation in the Twin Cities, is located at 9001 Wyoming Av. N. The center is expected to open later this fall.</t>
  </si>
  <si>
    <t>Warehouse; Distribution Center</t>
  </si>
  <si>
    <t>http://www.startribune.com/amazon-now-hiring-for-new-sorting-facility-in-brooklyn-park/496659861/ ; https://finance-commerce.com/2018/10/amazon-prepares-brooklyn-park-sorting-center/</t>
  </si>
  <si>
    <t>9001 N Wyoming Ave</t>
  </si>
  <si>
    <t>Cardialen</t>
  </si>
  <si>
    <t>Med-tech company Cardialen has closed on $17 million in venture capital that will go toward ramping up hiring and clinical studies. The company, whose headquarters migrated from St. Louis to Minneapolis about five years ago, is developing technology to treat abnormally fast heart rhythms. Cardialen will put its recently won funding toward a clinical trial. The company has six employees and Peters expects that number to reach between 10 and 20 in the coming months.</t>
  </si>
  <si>
    <t>https://www.bizjournals.com/twincities/news/2018/10/10/med-tech-startup-cardialen-to-ramp-up-hiring-after.html</t>
  </si>
  <si>
    <t>212 Third Ave N Ste 352</t>
  </si>
  <si>
    <t>Federated Insurance Cos</t>
  </si>
  <si>
    <t>"Federated Insurance is purchasing the former Verizon call center building for use as a processing center. Federated, a rapidly growing company headquartered in Owatonna that serves clients across the country, said earlier they expect to bring about 200 employees to Mankato in the first two or three years. Federated employs about 2,400 people nationwide with 1,400 at the Owatonna headquarters. The facility's opening date and new staff hiring timeline are yet to be determined."</t>
  </si>
  <si>
    <t>http://www.mankatofreepress.com/news/local_news/federated-insurance-buying-verizon-call-center-building/article_b12dcf1c-cd5f-11e8-8f1c-276b248bcdb9.html</t>
  </si>
  <si>
    <t>2000 Technology Dr</t>
  </si>
  <si>
    <t>Regions Hospital is officially moving dirt on its new 160,000-square-foot birth center in St. Paul, a project that promises to deliver everything from water birth suites to unusual couplet care features for moms and their babies. The $75.5 million project includes a four-story building with 50 parking stalls for moms and visitors. Financing will include $50 million in conduit revenue bonds. Regions is kicking in $25.5 million in equity. Completion is expected in June 2020.</t>
  </si>
  <si>
    <t>https://finance-commerce.com/2018/10/regions-hospital-birth-center-underway/</t>
  </si>
  <si>
    <t>Adventure Creative Group</t>
  </si>
  <si>
    <t>Brainerd</t>
  </si>
  <si>
    <t>After winning the Minnesota Tourism account this summer, Minneapolis agency Adventure Creative has added four employees to its team to handle the new work.</t>
  </si>
  <si>
    <t>https://www.bizjournals.com/twincities/news/2018/10/18/adventure-creative-adds-to-team-as-new-work-flows.html</t>
  </si>
  <si>
    <t>1521 Nern Pacific Rd</t>
  </si>
  <si>
    <t>Merchant &amp; Gould</t>
  </si>
  <si>
    <t>The updated technology infrastructure at Fifth Street Towers helped to lure Merchant &amp; Gould across downtown Minneapolis into a smaller, but more efficient office floorplan. The intellectual property law firm will move next summer into 40,246 square feet of space on the 21st and 22nd floors of the two-building complex at 150 Fifth St. S. Merchant &amp; Gould's build-out in the new space will feature private offices that are all the same size, collaborative workspaces and a new paper-free workflow</t>
  </si>
  <si>
    <t>https://finance-commerce.com/2018/10/why-merchant-gould-moved-out-of-iconic-ids/</t>
  </si>
  <si>
    <t>80 S 8th St IDS Center Ste 3200</t>
  </si>
  <si>
    <t>King Solutions Inc</t>
  </si>
  <si>
    <t>Dayton</t>
  </si>
  <si>
    <t>King Solutions Inc., a provider of freight-transportation services, has started building a 101,000-square-foot addition to its 164,891-square-foot headquarters at 11011 Holly Lane N. in Dayton.. The biggest draw of the new space is that it will be temperature-controlled, which will allow the company to work with new kinds of commodities, the company said. King has 130 employees at its Dayton site and expects to add 10 more with the expansion.</t>
  </si>
  <si>
    <t>https://www.bizjournals.com/twincities/news/2018/10/19/king-solutions-joins-graco-other-firms-in.html</t>
  </si>
  <si>
    <t>11011 Holly Ln N</t>
  </si>
  <si>
    <t>Northern Lights Manufacturing</t>
  </si>
  <si>
    <t>Virginia</t>
  </si>
  <si>
    <t>Consideration of a development agreement between the City of Virginia and Vertex Roofing d/b/a Northern Lights Manufacturing for a Manufacturing Project in Virginia (page 62 of the meeting packet in the link). Northern Lights Mfg is requesting a forgivable loan of $50,000 for funding the gap in their project for purchasing equipment and machinery. The expansion would employ 8 more empoyees over the next two years. Public hearing 10/23/2018 at DEED. MIF Funds of $93,550 were approved.</t>
  </si>
  <si>
    <t>http://www.virginiamn.us/10-23-18%20Council%20Agenda%20Packet.pdf</t>
  </si>
  <si>
    <t>402 2nd Ave S</t>
  </si>
  <si>
    <t>Vertex Roofing Inc</t>
  </si>
  <si>
    <t>Eveleth</t>
  </si>
  <si>
    <t>Pan-O-Gold Baking Company</t>
  </si>
  <si>
    <t>Pan O Gold Baking Company is seeking land to build a 2000 SF distribution center facility on an empty lot at 14th Ave N. Seeking out if City will sell the lot to them. City approved the request and sold the land parcel for $1.</t>
  </si>
  <si>
    <t>Up North Plastics Inc</t>
  </si>
  <si>
    <t>Up North Plastics will be doubling its facility size as well as nearly double its workforce. The current facility is 450,000 square feet, with an additional 460,000 square feet proposed to be added to its 88-acre site. The expansion will include manufacturing and warehouse facilities, as well as silos and cooling towers. Expansion expected to add 200 jobs over three years. The 16 silos to be built will stand between 64- and 97-feet tall, about 20 feet higher than the current silos.</t>
  </si>
  <si>
    <t>http://bit.ly/2EQsASg </t>
  </si>
  <si>
    <t>9480 Jamaica Ave S</t>
  </si>
  <si>
    <t>Hermantown</t>
  </si>
  <si>
    <t>The $26 million Essentia Wellness Center, located at the intersection of Ugstad and Arrowhead Roads, will include three key elements, a YMCA, a childcare center run by the YMCA and co-located healthcare services provided by Essentia Health. Financial support runs deep and includes many partners. Essentia Health will contribute $2 million; the state of Minnesota budgeted $8 million (2016 bonding bill); and $16m from Hermantown, St. Louis County and capital campaigns. To be completed Fall 2019.</t>
  </si>
  <si>
    <t>http://www.businessnorth.com/businessnorth_exclusives/construction-begins-on-new-essentia-wellness-center/article_3b1f4654-db9f-11e8-9c26-cb17df9c0738.html</t>
  </si>
  <si>
    <t>4855 W Arrowhead Rd</t>
  </si>
  <si>
    <t>Equity Financing; Government Financing</t>
  </si>
  <si>
    <t>Mall of America Water Park</t>
  </si>
  <si>
    <t>The Port Authority and Triple Five would act as co-developers of the project. A nonprofit organization would own the water park. Construction could begin as soon as a year from now in late 2019 and wrap up in 2021. City staff are proposing the facility be built just north of the Mall of America. The water park proposed is 250,000 square feet of actual water-park space, which would make it the second largest in North America. Cost: between $230 million and 250 million.</t>
  </si>
  <si>
    <t>https://www.bizjournals.com/twincities/news/2018/10/29/bloomington-lays-out-plan-for-230m-plus-mall-of.html</t>
  </si>
  <si>
    <t>60 E Broadway</t>
  </si>
  <si>
    <t>Midwest Aircraft Refinishing</t>
  </si>
  <si>
    <t>Hibbing</t>
  </si>
  <si>
    <t>Midwest Aircraft Refinishing has a passion for (paint) perfection. Since its inception in 2010, the company's business of painting and refurbishing small airplanes has taken off. Midwest Aircraft Refinishing has grown to become recognized as a premier painter of Cirrus airplanes. It also paints and refurbishes other name-brand planes. A new 10,000 square-foot addition is under construction, adjacent to its current facility. Govt Financing includes $1.3 million loan from MnDOT, $200K IRRRB loan.</t>
  </si>
  <si>
    <t>Headquarters; Manufacturing; Warehouse</t>
  </si>
  <si>
    <t>http://www.businessnorth.com/daily_briefing/midwest-aircraft-refinishing-has-a-passion-for-paint-perfection/article_f56e4af4-db91-11e8-beea-5b131afdfe3a.html</t>
  </si>
  <si>
    <t>11038 Hwy 37 Bldg A Ste 8</t>
  </si>
  <si>
    <t>Kraus-Anderson</t>
  </si>
  <si>
    <t>KA has been building projects in Rochester for decades, from the Miracle Mile Mall to the Rochester International Airport terminal. In 2012, it opened a regional office in the city to manage projects in southern Minnesota, northern Iowa and western Wisconsin. Kraus-Anderson has outgrown that office at 416 South Broadway in downtown. On Tuesday, 16 employees moved into a street-level office at 501 on First. The new 5,666-sq-ft office is roomier than the previous 4,000-sq-ft office.</t>
  </si>
  <si>
    <t>https://finance-commerce.com/2018/10/kraus-anderson-moves-to-larger-rochester-office/</t>
  </si>
  <si>
    <t>501 1st Ave SW</t>
  </si>
  <si>
    <t>Kraus-Anderson Cos Inc</t>
  </si>
  <si>
    <t>Bix Produce Co</t>
  </si>
  <si>
    <t>St. Paul-based Bix Produce Co. is planning to move its 400 employees to Little Canada in an expansion that would triple the size of its current food-processing facility. The company, long a North End institution, would create 129 new jobs over the next 4 years and renovate Slumberland's former warehouse for $15 million. Bix processes, distributes fruits &amp; vegetables. It has outgrown its 68,000-SF facility in St. Paul. DEED JCF award total $350K. Revised Invt: $25.725 million DEED</t>
  </si>
  <si>
    <t>Headquarters; Warehouse; Other</t>
  </si>
  <si>
    <t>http://www.startribune.com/st-paul-based-food-processer-looks-to-relocate-to-little-canada/499353981/</t>
  </si>
  <si>
    <t>Coloplast US</t>
  </si>
  <si>
    <t>Four years ago Coloplast Corp. faced a $600K penalty from the city of Minneapolis for not meeting hiring goals at its new U.S. headquarters. Today one of the company's biggest challenges is finding employees to fill open positions. The Danish company's Twin Cities workforce is growing again as it invests in marketing, research and development, and other efforts connected to two key business units with Minnesota operations. Currently has 365 employees, with 27 openings in MN listed on website</t>
  </si>
  <si>
    <t>https://www.bizjournals.com/twincities/news/2018/11/01/how-med-tech-maker-coloplast-built-an-empire-of.html</t>
  </si>
  <si>
    <t>1601 W River Rd N</t>
  </si>
  <si>
    <t>Coloplast A/S</t>
  </si>
  <si>
    <t>Humlebaek</t>
  </si>
  <si>
    <t>Denmark</t>
  </si>
  <si>
    <t>Stern Companies</t>
  </si>
  <si>
    <t>Hoyt Lakes</t>
  </si>
  <si>
    <t>Stern Companies ramping up expansion in Hoyt Lakes. When it came time for Stern Companies, Inc. to expand its manufacturing capabilities, the choice for a new site became unmistakable: Hoyt Lakes, MN. In early November, the company begins production in Hoyt Lakes within a 30,000 square-foot building built in 2002 by the Hoyt Lakes EDA. Initially, Stern will employ about 10-12 in Hoyt Lakes. Plans are to add 15-20 employees in the next two to three years. Govt $: $1 million IRRRB</t>
  </si>
  <si>
    <t>http://www.businessnorth.com/businessnorth_exclusives/stern-companies-ramping-up-expansion-in-hoyt-lakes/article_91111d7c-e837-11e8-ad7b-1bde743b1e81.html</t>
  </si>
  <si>
    <t>5520 Colby Lake Rd</t>
  </si>
  <si>
    <t>Baxter</t>
  </si>
  <si>
    <t>Innovative Office Solutions</t>
  </si>
  <si>
    <t>Innovative Office Solutions, a Burnsville-based office furniture and products company, opened a new, 7,076-square-foot showroom in downtown Minneapolis. The space which will double as a downtown office and showroom and sits on the corner of 5th and Marquette. It will have 12 employees stationed there full-time, with 60 others splitting time between other locations,</t>
  </si>
  <si>
    <t>Office (Non-HQ); Retail</t>
  </si>
  <si>
    <t>https://www.bizjournals.com/twincities/news/2018/11/05/innovative-office-solutions-opens-7-000-square.html</t>
  </si>
  <si>
    <t>151 Cliff Rd E</t>
  </si>
  <si>
    <t>Life Time Fitness</t>
  </si>
  <si>
    <t>Life Time is opening between 10 to 12 clubs per year, according to Chief Operating Officer Jeff Zwiefel, and this week finished a $7 million remodel of its Eagan location. It has 23 clubs in the Twin Cities, including a Southdale location set to open in 2019.</t>
  </si>
  <si>
    <t>Personal Services</t>
  </si>
  <si>
    <t>https://www.bizjournals.com/twincities/news/2018/11/09/life-time-building-26m-to-30m-corporate-office-in.html</t>
  </si>
  <si>
    <t>1565 Thomas Center Dr</t>
  </si>
  <si>
    <t>Life Time Inc. is constructing a secondary corporate office in Chanhassen adjacent to its original headquarters. Buildout costs for the office will be between $26 million to $30 million, according to Life Time's Chief Operating Officer Jeff Zwiefel. Up to 300 of Life Time's 800 corporate employees will shift over to the new office after it's completed next August. The two-floor, 70,000-square-foot building is being built on the same parking lot as the original corporate office.</t>
  </si>
  <si>
    <t>2902 Corporate Place</t>
  </si>
  <si>
    <t>Valspar Corp</t>
  </si>
  <si>
    <t>In the 16 months since Cleveland-based Sherwin-Williams acquiring Valspar, Valspar's influence has grown, with five businesses based in Minnesota and a growing research-and-development operation on the old HQ campus. "Minneapolis is like our second headquarters," said Sherwin-Williams spokesman Mike Conway. "We added chemists and other scientists. We also closed another lab in [Chicago] and brought those workers to Minneapolis." Conway said Minneapolis is "our global hub for R &amp; D".</t>
  </si>
  <si>
    <t>http://www.startribune.com/minneapolis-presence-strong-16-months-after-valspar-purchase/500168432/</t>
  </si>
  <si>
    <t>1101 S 3rd St</t>
  </si>
  <si>
    <t>Sherwin-Williams</t>
  </si>
  <si>
    <t>Cleveland</t>
  </si>
  <si>
    <t>OH</t>
  </si>
  <si>
    <t>EA Sween Company</t>
  </si>
  <si>
    <t>Annandale</t>
  </si>
  <si>
    <t>E.A. Sween has purchased the former Select Foods facility for the purpose of expanding their company. E.A. Sween is purchasing the property for $1.1 million and making $2.36 million in additional site improvement capital expenditures. At least 51 new jobs will be created within 2 years as a result of the proposed project. $375,000 in MIF funds have been approved to assist in the purchase of new equipment for the project.</t>
  </si>
  <si>
    <t>https://www.annandale.mn.us/vertical/sites/%7B8B9EF75D-91A9-44C3-9174-41C4172B85B5%7D/uploads/Council_Packet_11-5-18.pdf</t>
  </si>
  <si>
    <t>435 Annandale Blvd</t>
  </si>
  <si>
    <t>Senneca Holdings</t>
  </si>
  <si>
    <t>Door Manufacturer Senneca to Move Into Vacated Mankato Plant, Hire 82 New Staff. Senneca Holdings, which specializes in commercial doors for places like airport hangars and fire stations, plans to lease a 117,000-sqare-foot plant in Mankato once used by Imperial Plastics. The Mankato facility will serve as a new operations site for Senneca. Also plans to transfer operations there from a Florida manufacturer. TIF $311,000. ""It's a wonderful facility. It's really set up well for us,""</t>
  </si>
  <si>
    <t>http://tcbmag.com/news/articles/2018/november/door-manufacturer-senneca-to-move-into-vacated-man</t>
  </si>
  <si>
    <t>101 Power Dr</t>
  </si>
  <si>
    <t>Springdale</t>
  </si>
  <si>
    <t>Moline Machinery LLC</t>
  </si>
  <si>
    <t>Duluth's Moline Machinery plans $9 million expansion. Moline Machinery is embarking on a significant expansion to its West Duluth facility to become more globally competitive. The industrial bakery-machinery manufacturer expects to invest $9 million in a new building and equipment over the next two years. The 25,000-square-foot expansion at 114 S. Central Ave. will upgrade an existing 1930s-era structure that will open up assembly space for new machinery, convert some areas into offices.</t>
  </si>
  <si>
    <t>https://www.duluthnewstribune.com/business/manufacturing/4529871-duluths-moline-machinery-plans-9-million-expansion</t>
  </si>
  <si>
    <t>114 S Central Ave</t>
  </si>
  <si>
    <t>Cantel Medical</t>
  </si>
  <si>
    <t>Cantel Medical may expand in Plymouth. The company is a leading provider of infection prevention and control products and services in the healthcare market. The proposed project would consist of renovation of the company?s Plymouth facility to add a 20,000 square foot innovation and training center and a 7,500 square foot R&amp;D testing center. Applying for $675K JCF</t>
  </si>
  <si>
    <t>https://connect2.mn.gov/sites/DEED-DEN/SitePages/events.aspx?trumbaEmbed=eventid%3D130028039%26view%3Devent%26-childview%3D</t>
  </si>
  <si>
    <t>9800 59th Ave N</t>
  </si>
  <si>
    <t>Cantel Medical Corp</t>
  </si>
  <si>
    <t>Little Falls</t>
  </si>
  <si>
    <t>NJ</t>
  </si>
  <si>
    <t>Greenheck Fan</t>
  </si>
  <si>
    <t>Greenheck Fan Corporation manufactures and supplies air movement and control equipment. Customized training for 300 employees, including 55 new hires, will focus on the production floor level. Course topics include: Team Leader Training, Refrigeration Piper Training, Equipment Operations and Troubleshooting, Microsoft Basics, Advanced Microsoft Excel, and New Hire Safety Training. DEED MJSP award $49,410</t>
  </si>
  <si>
    <t>https://mn.gov/deed/newscenter/press-releases/?id=359817#/detail/appId/1/id/359690</t>
  </si>
  <si>
    <t>Greenheck Fan Corp</t>
  </si>
  <si>
    <t>Schofield</t>
  </si>
  <si>
    <t>Long Haul Trucking</t>
  </si>
  <si>
    <t>Otsego</t>
  </si>
  <si>
    <t>Long Haul Trucking (LHT) is the largest Conestoga trucking company in North America. Conestoga, a tarping system used on flatbed trailers, is designed to carry a variety of loads, reduces operating time and protects from weather conditions. A customized training program, including leadership/company changes and technician cross-training, will be delivered to 246 employees (57 new). DEED MJSP award $300,000.</t>
  </si>
  <si>
    <t>6600 Jansen Ave NE</t>
  </si>
  <si>
    <t>St Paul Harley-Davidson</t>
  </si>
  <si>
    <t>Oakdale</t>
  </si>
  <si>
    <t>Dale Rhoads, the president and CEO of Tulsa, Okla.-based management company Defcon Powersports, acquired St. Paul Harley-Davidson in Oakdale and Wild Prairie Harley-Davidson in Eden Prairie. Rhoads also owns Twin Cities Harley-Davidson North in Blaine and Twin Cities Harley-Davidson in Lakeville. Plans renovation of $500,000 to $1 million at St. Paul location.</t>
  </si>
  <si>
    <t>Retail; Other</t>
  </si>
  <si>
    <t>https://www.bizjournals.com/twincities/news/2018/11/20/harley-davidson-dealerships-change-hands-will-get.html</t>
  </si>
  <si>
    <t>2899 Hudson Rd</t>
  </si>
  <si>
    <t>Defcon Powersports</t>
  </si>
  <si>
    <t>Tulsa</t>
  </si>
  <si>
    <t>OK</t>
  </si>
  <si>
    <t>Alula</t>
  </si>
  <si>
    <t>Alula is a home automation and security technology company that offers hardware and software for professional security alarm dealers. Alula will be moving to Midway area of St. Paul and renovate an existing facility. The total project cost is $1,795,788. The company expects to create 135 jobs within the next three years with an average wage of $33.82 per hour. DEED JCF award $175,000. Moving from Hudson WI.</t>
  </si>
  <si>
    <t>https://mn.gov/deed/newscenter/press-releases/?id=359817</t>
  </si>
  <si>
    <t>2340 Energy Park Dr</t>
  </si>
  <si>
    <t>New Plastics Plus</t>
  </si>
  <si>
    <t>St Michael</t>
  </si>
  <si>
    <t>New Plastics Plus is a certified ISO9001/2015 custom thermoform manufacture. For the project they will construct a new 91,000-square-foot facility in St. Michael. The total project costs is estimated to be around $7.2 million. The company expects to create 10 jobs within the next three years with an average wage of $18.83 per hour. MN DEED JCF award $255,000.</t>
  </si>
  <si>
    <t>Pinnacle Climate Technologies/Schaefer</t>
  </si>
  <si>
    <t>Sauk Rapids</t>
  </si>
  <si>
    <t>Benton</t>
  </si>
  <si>
    <t>Pinnacle manufactures and distributes industrial construction and residential heating and ventilation products. Pinnacle plans to relocate to a newly renovated 122,000-square-foot facility in Sauk Rapids. The total project cost is $1,200,000. The company expects to create 10 jobs within three years. DEED JCF $162,500</t>
  </si>
  <si>
    <t>Headquarters; Office (Non-HQ); Manufacturing; Distribution Center</t>
  </si>
  <si>
    <t>1 Industrial Blvd Ste 101</t>
  </si>
  <si>
    <t>Windings Inc</t>
  </si>
  <si>
    <t>Windings Inc. manufactures specialty electrical motors, generators and the sub-assemblies for these types of products. Windings plans to purchase a 60,000-square-foot facility in New Ulm. Then they will renovate and add an additional 10,000 square feet to the building. The total project will cost $7,900,000 and Windings expects to create 20 jobs within the next three years with an average wage of $21.60 per hour. MN DEED JCF Award $175,000</t>
  </si>
  <si>
    <t>208 N Valley</t>
  </si>
  <si>
    <t>CentraCare expects to close in January on a deal that would transfer ownership of Redwood Area Hospital to a subsidiary of the St. Cloud-based health care system, in a transaction that calls for a $60 million capital investment over the next 10 years. First announced in April this year, the deal for the hospital in the town of Redwood Falls is the latest in a series of transactions that has grown the size and scope of CentraCare.</t>
  </si>
  <si>
    <t>http://www.startribune.com/centracare-adding-redwood-falls-hospitals/501275311/</t>
  </si>
  <si>
    <t>1406 6th Ave N</t>
  </si>
  <si>
    <t>St Luke's Hospital</t>
  </si>
  <si>
    <t>A $300 million plan to update and expand St. Luke's medical campus will extend over 10 years and be carefully modeled to mirror the future face of healthcare. The first stage of the three-phase project will begin in 2019 with a repurposing of a five-story structure, known as Building A. That work will cost of $40 million. The project will include a new emergency room and ancillary services. At any given moment, St. Luke's has between 130 and 160 positions open, he said.</t>
  </si>
  <si>
    <t>http://bit.ly/2zLwRkI</t>
  </si>
  <si>
    <t>915 E 1st St</t>
  </si>
  <si>
    <t>Dispatch</t>
  </si>
  <si>
    <t>Dispatch, whose app businesses use to coordinate deliveries, has closed on a $7.8 million round of funding as it prepares for a hiring spree. The round of funding was led by Southlake, Texas-based investment firm Trinity Private Equity Group and comes on top of a $2.6 million round Dispatch raised earlier this year. The startup will put the capital toward expanding into additional markets and hiring. It has about 50 employees now. It plans to add 60-80 workers in Twin Cities</t>
  </si>
  <si>
    <t>https://www.bizjournals.com/twincities/news/2018/11/29/tech-startup-dispatch-raises-7-8m-plans-hiring.html</t>
  </si>
  <si>
    <t>1401 W 94th St</t>
  </si>
  <si>
    <t>Avisen Legal</t>
  </si>
  <si>
    <t>"Avisen Legal, a Minneapolis-based boutique law firm, will double its office space next year to accommodate a growing staff. The firm's new space will be about 6,600 square feet in the AT&amp;T Tower and will be finished around May, according to Chief Financial and Operating Officer Kimberly Lowe. The firm is doubling space with hopes of increasing from eight attorneys to about 14 in the next couple of years, she said. Executives declined to provide cost figures for the buildout."</t>
  </si>
  <si>
    <t>https://www.bizjournals.com/twincities/news/2018/11/30/avisen-legal-to-double-space-in-at-t-tower-in.html</t>
  </si>
  <si>
    <t>901 S Marquette Ave Ste 1675</t>
  </si>
  <si>
    <t>Chartwell Financial</t>
  </si>
  <si>
    <t>Previously, Chartwell was based in 33 South Sixth in Minneapolis, where it had two partial suites on the 40th and 47th floors. In November 2018, Chartwell consolidated into the 27th floor of downtown Minneapolis' Fifth Street Towers. The office buildout didn't begin until July 2018, with the move happening four months later; it has a 10-year lease on the 20,358-square-foot space.</t>
  </si>
  <si>
    <t>https://www.bizjournals.com/twincities/news/2019/05/21/cool-offices-financial-advisory-firm-sought.html</t>
  </si>
  <si>
    <t>527 Marquette Ave</t>
  </si>
  <si>
    <t>ProcessBolt</t>
  </si>
  <si>
    <t>Minneapolis-based ProcessBolt aims to close cybersecurity gaps that large firms find in smaller ones The startup works with companies and their vendors to streamline risk management assessments. Data breaches are one of the biggest problems companies have today. The company now is actively seeking its first employees in sales and program development.</t>
  </si>
  <si>
    <t>http://www.startribune.com/minneapolis-based-processbolt-aims-to-close-cybersecurity-gaps-that-large-firms-find-in-smaller-ones/501649671/</t>
  </si>
  <si>
    <t>River Bend Business Products</t>
  </si>
  <si>
    <t>A longtime local business supplies company is now set to open a corporate office and showroom in North Mankato.River Bend Business Products will move into 1901 Lee Blvd on a lease. River Bend's retail space on Riverfront Drive will still remain open, but the business is separating its retail and office space with the move. Hansen told the council River Bend will need to renovate the Lee Boulevard property and may potentially sublease portions of its office space.</t>
  </si>
  <si>
    <t>http://www.mankatofreepress.com/news/local_news/n-mankato-clears-way-for-supply-company-relocation/article_d9d777ce-f7e4-11e8-afe6-4f5a4fa8f228.html</t>
  </si>
  <si>
    <t>1901 Lee Blvd</t>
  </si>
  <si>
    <t>Fairmont</t>
  </si>
  <si>
    <t>Podiumwear Custom Sports Apparel</t>
  </si>
  <si>
    <t>Named Extra-small Mfr of the year by MSP Business Journal. Podiumwear Custom Sports Apparel Co. keep a close eye on the quality of the skiing, cycling, running and soccer pieces they manufacture. Podiumwear was founded in 2003. Initially, Podiumwear used a private label company to manufacture its clothing, but in 2010 the team reinvented the business to manufacture the clothing in-house. Currently, the company employs 12 people. Over the next five to 10 years, plans to at least quadruple size.</t>
  </si>
  <si>
    <t>Textile, Apparel</t>
  </si>
  <si>
    <t>https://www.bizjournals.com/twincities/news/2018/12/05/2018-business-of-manufacturing-podiumwear-custom.html</t>
  </si>
  <si>
    <t>626 Armstrong Ave S</t>
  </si>
  <si>
    <t>Northstar Aluminum</t>
  </si>
  <si>
    <t>Mora</t>
  </si>
  <si>
    <t>Kanabec</t>
  </si>
  <si>
    <t>Northstar Aluminum is a new business in the city of Mora that will manufacture large boats/pontoons. The project cost is estimated at $1.08 million and includes the construction of a new 15,000 square foot manufacturing plant in Mora's industrial park on a 6.31 acre parcel. The new plant will create 14 new jobs. They were awarded $200,000 in MIF funds for equipment purchase.</t>
  </si>
  <si>
    <t>N. Industrial Road</t>
  </si>
  <si>
    <t>Francis Medical</t>
  </si>
  <si>
    <t>Maple Grove-based Francis Medical, a startup that spun out of med-tech company NxThera Inc., which was sold to Boston Scientific Corp. earlier this year, has raised $18 million in venture capital. Francis Medical will put the funding toward clinical trials as it prepares to roughly double its 10-person staff over the next year, said CEO Michael Kujak, who was previously NxThera's chief marketing officer and senior vice president of commercialization.</t>
  </si>
  <si>
    <t>http://bit.ly/2SDUHGj</t>
  </si>
  <si>
    <t>7351 Kirkwood Lane N Ste 138</t>
  </si>
  <si>
    <t>Seaquest Aquarium Roseville</t>
  </si>
  <si>
    <t>Idaho-based SeaQuest Holdings LLC, a fast-growing developer of aquariums and other animal exhibits, will open an aquarium at Rosedale Center in Roseville next spring. Construction has already started on the two-level, 23,000-square foot attraction in the former Ruby Tuesday space near J.C. Penney. It will employ about 75 people and bring Rosedale into competition with the Mall of America's aquarium, called Sea Life Minnesota.</t>
  </si>
  <si>
    <t>http://www.startribune.com/rosedale-will-add-a-two-story-aquarium-next-spring/502472641/</t>
  </si>
  <si>
    <t>1595 MN-36</t>
  </si>
  <si>
    <t>SageGlass</t>
  </si>
  <si>
    <t>SageGlass will invest another $14M in Faribault plant, add jobs. SageGlass' investments will be primarily internal to existing facilities. The investments are planned over the next two years and will add a total of 16 new jobs. It's expected that the City Council will be asked to approve a resolution of support that would allow SageGlass to tap into [DEED's] Job Creation Fund. According to city CED Director Deanna Kuennen, Saint-Gobain approved the Faribault project in November.</t>
  </si>
  <si>
    <t>http://bit.ly/2EunIRS</t>
  </si>
  <si>
    <t>One Sage Way</t>
  </si>
  <si>
    <t>Compagnie De Saint-Gobain SA</t>
  </si>
  <si>
    <t>NoSweat</t>
  </si>
  <si>
    <t>"NoSweat, market pioneer and creator of patented sweat-absorbing, disposable performance liners for hats, helmets, hard hats and visors, announces a five-year international licensing agreement with Minnetonka-based United Sports Brands, a global leader in sports performance and protective products. United Sports Brands, which has a big presence in the Twin Cities, is the parent company of brands such as Shock Doctor's mouth guards and McDavid's braces. 12 employees, adding 6 next year.</t>
  </si>
  <si>
    <t>https://www.bizjournals.com/twincities/businesswire/press_releases/Minnesota/2018/12/12/20181212005627</t>
  </si>
  <si>
    <t>5421 Feltl Rd Ste 160</t>
  </si>
  <si>
    <t>Sea Life Minnesota Aquarium</t>
  </si>
  <si>
    <t>"Mall of America's Sea Life Aquarium Introducing "Brave the Rainforest" Adventure in 2019. The $1 million project, set to be completed by next spring, is transforming an existing exhibit space into a section that will feature close encounters with crocodiles, piranhas, cockroaches, snakes, and more. This new section of the renowned 66,000-square-foot, 1.3 million-gallon Sea Life Aquarium will involve pop-up tanks, a creature meet-and-great Ranger Camp area, and special weather effects."</t>
  </si>
  <si>
    <t>http://tcbmag.com/news/articles/2018/december/mall-of-america-spending-1-million-to-transform-sea-life-aquarium-into-rainforest-exhibit</t>
  </si>
  <si>
    <t>120 E Broadway Mall of America</t>
  </si>
  <si>
    <t>Merlin Entertainments Group Ltd</t>
  </si>
  <si>
    <t>Poole</t>
  </si>
  <si>
    <t>Canteen Vending Services</t>
  </si>
  <si>
    <t>Canteen Vending had outgrown its Minneapolis office of 3,000 square feet. And its warehouse, where vending machines are repaired and shipped out, wasn't much better. For a new space, Canteen found a building in Southeast Minneapolis which had sat unused for years. Part of it was torn down to build a new, 12,000-sq-ft office. The rest of the 135,000-square-foot building became warehouse space. Canteen doubled in size, in revenue and employees, and increased 4x in space. New space opened: Nov 2018</t>
  </si>
  <si>
    <t>https://www.bizjournals.com/twincities/news/2019/02/26/cool-offices-canteen-vending-quadruples-its-space.html</t>
  </si>
  <si>
    <t>700 24th Ave SE</t>
  </si>
  <si>
    <t>LB Carlson</t>
  </si>
  <si>
    <t>Carlson Advisors was in need of a shake up. They had been in the same Brooklyn Park office for three decades. Worse, their name misled some to think the company was a financial-services firm, as opposed to a CPA firm that offered financial consulting. In November 2017, partners at the firm began looking for new space and a new name for the company. Flash forward to 2019. The firm, now called LB Carlson, is settling at its new HQ (moved 7/2018). Since the move they have hired 5 employees.</t>
  </si>
  <si>
    <t>Accounting</t>
  </si>
  <si>
    <t>https://www.bizjournals.com/twincities/news/2019/02/15/accounting-firm-rebrands-relocates-from-brooklyn.html</t>
  </si>
  <si>
    <t>Reviva</t>
  </si>
  <si>
    <t>The 70-year-old truck engine-repair firm Reviva has launched a new division that will refurbish gasoline-powered engines for Hoglund Bus Co., Aramark, a Coca-Cola subsidiary and other companies with large fleets. Reviva is the largest independent refurbisher of diesel engines in North America, and employs 180 workers in Fridley and 20 in Brooklyn Center. In 2018, the small family-owned company in Fridley built a new $750,000 23,000 SF facility in Brooklyn Center.</t>
  </si>
  <si>
    <t>http://www.startribune.com/twin-cities-company-makes-name-refurbishing-engines-for-ups-other-big-fleets/506527392/ AND https://www.nbc-2.com/story/39830148/reviva-gas-engine-division-and-hoglund-bus-company-launch-remanufactured-drop-in-gas-engine-program</t>
  </si>
  <si>
    <t>3900 50th Ave N 
Ste 210</t>
  </si>
  <si>
    <t>Revol Greens</t>
  </si>
  <si>
    <t>Medford</t>
  </si>
  <si>
    <t>Steele</t>
  </si>
  <si>
    <t>Minnesota startup is bringing production to the very different climate of the upper Midwest. Medford-based Revol Greens sold its first shipment of produce early 2018 to grocers such as Hy-Vee and Cub Foods, and less than a year later it is already raising capital to expand. Although specific details of the expansion are still being nailed down, Amis said it would more than double Revol's existing greenhouse space and said construction plans would be put together in 2019.</t>
  </si>
  <si>
    <t>https://finance-commerce.com/2018/12/medford-greens-grower-raises-funds-to-expand/</t>
  </si>
  <si>
    <t>2781 NW 50th St</t>
  </si>
  <si>
    <t>The Stable</t>
  </si>
  <si>
    <t>Was completed in 2018 but article appeared in 1/2019. The Stable, a consumer-brand marketing agency founded in 2015, recently transformed/connected the second levels of two century-old buildings at Ninth and Nicollet in downtown Minneapolis that had been sitting empty for years. The six-month, roughly $600,000 renovation designed by Peterssen/Keller Architecture resulted in a modern, industrial-style open workspace for the 30-plus employees who work at The Stable?s Minneapolis headquarters.</t>
  </si>
  <si>
    <t>http://tcbmag.com/news/articles/2019/january/office-envy-the-stable-s-industrial-style-headqua</t>
  </si>
  <si>
    <t>923 Nicollet Mall Ste 300</t>
  </si>
  <si>
    <t>2019-Q1</t>
  </si>
  <si>
    <t>Spencer Fane</t>
  </si>
  <si>
    <t>Another out-of-town law firm is coming to the Twin Cities.Spencer Fane, based in Kansas City, Mo., opened a Minneapolis office Tuesday. The initial three attorneys are Donald Heeman, Jessica Nelson and Randi Winter; all three previously worked for Felhaber Larson. Heeman will act as the office's managing partner. Spencer is an all-purpose law firm with more than a dozen offices primarily in the middle of the country. Its initial office will be in Fifth Street Towers in downtown Minneapolis.</t>
  </si>
  <si>
    <t>https://www.bizjournals.com/twincities/news/2019/01/08/law-firm-spencer-fane-expanding-to-twin-cities.html</t>
  </si>
  <si>
    <t>100 S 5th St Ste 1900</t>
  </si>
  <si>
    <t>Kansas City</t>
  </si>
  <si>
    <t>Sun Country Airlines is adding 19 seasonal routes this spring in its largest expansion ever, with eight from Minneapolis-St. Paul International Airport including one to Chicago with a $49 starting price. Twin Cities passengers will soon have nonstop access on Sun Country to Chicago O'Hare, Washington Dulles, Newark, Philadelphia, Providence, R.I., Sacramento, San Antonio and St. Louis. The airline also said it will add about 160 jobs in the Twin Cities, a 10 percent jump in employment.</t>
  </si>
  <si>
    <t>http://www.startribune.com/sun-country-rolls-out-most-new-routes-ever-including-49-one-way-from-msp-to-o-hare/504048002/</t>
  </si>
  <si>
    <t>1300 Corporate Center Curve</t>
  </si>
  <si>
    <t>Magellan Midstream Partners</t>
  </si>
  <si>
    <t>Eyota</t>
  </si>
  <si>
    <t>Rochester growth drives proposed fuel plant expansion. Oklahoma-based Magellan Midstream Partners wants to bulk up its fuel production plant in Eyota Township, just 7 miles outside Rochester. Magellan hopes to add a 5 million-gallon above-ground gasoline storage tank and related infrastructure to the plant, which anchors a 30.7-acre site at the corner of Highways 42 and 14. The project, which could begin this spring, is undergoing environmental review from the MN PCA.</t>
  </si>
  <si>
    <t>https://finance-commerce.com/2019/01/rochester-growth-drives-proposed-fuel-plant-expansion/</t>
  </si>
  <si>
    <t>Qumulo</t>
  </si>
  <si>
    <t>Qumulo, the pioneer of hybrid cloud storage, announced the opening of a new Minneapolis office to take advantage of the strong digital and marketing and optimization talent in the Twin Cities. It currently employs six in downtown's WeWork space. 'With this additional location, we're able to better serve our rapidly growing customer base. We are doubling down on our technology innovation as we continue to expand our team and presence in the coming year,' said Peter Zaballos, CMP at Qumulo.</t>
  </si>
  <si>
    <t>http://bit.ly/2RFoOAg</t>
  </si>
  <si>
    <t>Alliance Machine Inc</t>
  </si>
  <si>
    <t>Alliance Machine in Elk River recently doubled its staff to 50 and expects to double again in five years. It won a Minnesota Apprenticeship Initiative (MAI) grant last year. The two apprenticeships require 2,000 hours of on-the-job training at Alliance Machine and 144 hours of classes with Tooling U-SME.</t>
  </si>
  <si>
    <t>http://www.startribune.com/apprenticeship-programs-abound-as-labor-shortage-deepens-in-minnesota/504173842/</t>
  </si>
  <si>
    <t>17520 Tyler St NW</t>
  </si>
  <si>
    <t>MAI</t>
  </si>
  <si>
    <t>MRA Associates</t>
  </si>
  <si>
    <t>Wayzata</t>
  </si>
  <si>
    <t>MRA Associates, one of the largest wealth management firms in Phoenix, recently opened a location in the Wayzata. The new office will be led by Bruce Paulson and Jennifer Arps, according to a news release. Paulson previously worked for the Minneapolis-based Okabena Co. and Arps worked for Minneapolis-based Dougherty &amp; Co. Last year, MRA ranked No. 1 in the Phoenix Business Journals's Investment Advisers list.</t>
  </si>
  <si>
    <t>https://www.bizjournals.com/twincities/news/2019/01/14/phoenix-based-wealth-management-firm-moving-into.html</t>
  </si>
  <si>
    <t>1907 Wayzata Blvd Ste 200</t>
  </si>
  <si>
    <t>Element Indoor Golf Club</t>
  </si>
  <si>
    <t>Vadnais Heights</t>
  </si>
  <si>
    <t>An indoor golf facility with a bar is set to open in Vadnais Heights this weekend. Element Indoor Golf Club will be open to the public and feature five hitting bays with simulators where golfers can play 186 different courses throughout the world. Interior construction started last fall and they figure it cost between $200,000 and $250,000 to open the 9,600 square foot facility.</t>
  </si>
  <si>
    <t>https://www.bizjournals.com/twincities/news/2019/01/15/indoor-golf-driving-range-and-bar-to-open-in.html</t>
  </si>
  <si>
    <t>4255 White Bear Pkwy Ste 2100</t>
  </si>
  <si>
    <t>CommonGrounds Workspace</t>
  </si>
  <si>
    <t>CommonGrounds Workspace, a San Diego-based coworking company, is building an office in the former TCF Bank atrium building at 801 Marquette Ave. The 801 Marquette space will open in June. CommonGrounds signed an 11-year lease for 27,500 square feet on the skyway level of the building.. A $2.7 million buildout is underway, according to city building permits. Earlier this week, CommonGrounds announced it had secured $100 million in Series A funding to support the company's growth goals.</t>
  </si>
  <si>
    <t>https://www.bizjournals.com/twincities/news/2019/01/18/coworking-company-with-100m-war-chest-opening.html</t>
  </si>
  <si>
    <t>801 S Marquette Ave</t>
  </si>
  <si>
    <t>San Diego</t>
  </si>
  <si>
    <t>Apruve</t>
  </si>
  <si>
    <t>Minneapolis-based payments-software firm Apruve has raised $6 million dollars in venture funding. Apruve makes software to help handle invoicing and payment processes between businesses. It had raised $2.2 million in an earlier round. It has already landed big-name customers like Texas Instruments and Boxed. They hope to add at least five new jobs, as well as directing more money to research and development. Apruve is the 19th largest software-as-a-service company in the Twin Cities metro.</t>
  </si>
  <si>
    <t>https://www.bizjournals.com/twincities/news/2019/01/24/software-company-apruve-raises-6-million.html</t>
  </si>
  <si>
    <t>110 N 5th St</t>
  </si>
  <si>
    <t>MGK Co (aka Mclaughlin Gormley King Company)</t>
  </si>
  <si>
    <t>Golden Valley</t>
  </si>
  <si>
    <t>Relocation from Golden Valley to Brooklyn Park. Relocating 150 jobs and creating 58 new jobs over the subsequent period of five years (of these, 52 jobs w/n 3 years... and 37 of which pay an average $33.91/hr). The company is proposing to move into an existing 147,400 square-foot facility located at 7325 Aspen Ln N. MGK estimates $13.95 million in investment to acquire the facility and up-fit the building. May 2019: Job Creation Fund Award $425K</t>
  </si>
  <si>
    <t>https://www.brooklynpark.org/wp-content/uploads/2019/09/ccep012819rm.pdf  (page 238-)</t>
  </si>
  <si>
    <t>8810 10th Ave N</t>
  </si>
  <si>
    <t>JCF</t>
  </si>
  <si>
    <t>425000</t>
  </si>
  <si>
    <t>Sumitomo Chemical</t>
  </si>
  <si>
    <t>Tokyo</t>
  </si>
  <si>
    <t>Boom Island Brewery</t>
  </si>
  <si>
    <t>Boom Island Brewing submitted plans to move its brewery from North Minneapolis to Baker Technology Plaza, a five-building office campus in Minnetonka.The proposed 9000 SF space in Minnetonka will have a taproom, a kitchen area, a private event area, an outdoor patio, production area, bottling line, and is 3 times their current space. With the expansion, the brewery is hiring an assistant brewer and will likely hire more employees when the brewery opens. Plan to open in Minnetonka this July.</t>
  </si>
  <si>
    <t>Headquarters; Manufacturing; Dining</t>
  </si>
  <si>
    <t>https://www.bizjournals.com/twincities/news/2019/01/29/boom-island-brewing-will-move-from-north.html</t>
  </si>
  <si>
    <t>5959 Baker Road</t>
  </si>
  <si>
    <t>Going into 2019, Sun Country plans a $6 million investment on new IT systems, launched its biggest route expansion in company history, started converting its fleet from leased to company-owned, and made plans to move its headquarters into a hangar at the Minneapolis-St. Paul International Airport.</t>
  </si>
  <si>
    <t>https://www.bizjournals.com/twincities/news/2019/01/29/sun-country-ceo-jude-bricker-is-cutting-frills.html</t>
  </si>
  <si>
    <t>ARYZTA (dba Fresh Start Bakeries)</t>
  </si>
  <si>
    <t>ARYZTA® North America is excited to announce a frozen cookie dough line extension at its Fresh Start Bakeries plant in Chaska, Minnesota, which produces Otis Spunkmeyer® branded cookies and custom cookies for retail, convenience and foodservice customers. Scheduled to open in March 2019, the new state-of-the-art line will add a third line to the bakery's current two-line footprint, expanding the bakery's production capacity by more than 40% and add 30 new jobs.</t>
  </si>
  <si>
    <t>https://www.businesswire.com/news/home/20190130005080/en/ARYZTA-Announces-Cookie-Line-Extension-Chaska-MN</t>
  </si>
  <si>
    <t>4075 Norex Dr</t>
  </si>
  <si>
    <t>ARYZTA</t>
  </si>
  <si>
    <t>Zurich</t>
  </si>
  <si>
    <t>Switzerland</t>
  </si>
  <si>
    <t>The Riveter</t>
  </si>
  <si>
    <t xml:space="preserve">The Riveter focuses on women workers and entrepreneurs. Amy Nelson quit her job as an attorney to start The Riveter in 2017. Nelson says that Riveter spaces are typically 10,000 to 12,000 square feet. Space is in Edina. In December 2018, Riveter raised a $20.5 million round of funding. Riveter is breaking from the traditional coworking format by also providing plenty of perks and programming that helps local entrepreneurs. </t>
  </si>
  <si>
    <t>http://tcbmag.com/news/articles/2019/january/the-riveter-co-working-aimed-at-women-set-to-open-in-twin-cities</t>
  </si>
  <si>
    <t>Twin Cities Business</t>
  </si>
  <si>
    <t>4388 France Ave S</t>
  </si>
  <si>
    <t>Pepperl+Fuchs Comtrol</t>
  </si>
  <si>
    <t>New Brighton</t>
  </si>
  <si>
    <t>Germany's privately held Pepperl+Fuchs, a diversified producer of industrial sensors and other automation technology, plans to invest in and grow Comtrol. Starting Feb. 1, the division will be known as Pepperl+Fuchs Comtrol. In fact, Comtrol, with 55 employees and $13 million in revenue, expects to increase its workforce by 10 percent this year thanks to Pepperl's investment.</t>
  </si>
  <si>
    <t>http://www.startribune.com/german-firm-buys-comtrol-a-manufacturer-that-survived-founder-s-legal-trouble-recession/505222132/</t>
  </si>
  <si>
    <t>100 5th Ave NW</t>
  </si>
  <si>
    <t>Pepperl+Fuchs</t>
  </si>
  <si>
    <t>Mannheim</t>
  </si>
  <si>
    <t>MIVI Neuroscience</t>
  </si>
  <si>
    <t>MIVI Neuroscience Inc., a maker of medical technology that treats strokes, has closed on a $10 million funding round, according to a recent regulatory filing. MIVI has about 20 employees in Eden Prairie. The company, founded in 2013,plans to expand on that number this year. It will also add employees in Europe to support the clinical trials.</t>
  </si>
  <si>
    <t>https://www.bizjournals.com/twincities/news/2019/02/08/eden-prairies-mivi-neuroscience-closes-on-10.html</t>
  </si>
  <si>
    <t>6545 City W Pkwy</t>
  </si>
  <si>
    <t>AHEAD</t>
  </si>
  <si>
    <t>AHEAD, a provider of enterprise cloud solutions, will relocate its Minneapolis office to the Edina Tech Center at 5151 Industrial Blvd in Edina. The newly renovated 3,000 square-foot space features spacious collaborative work areas and a state-of-the-art conference center for AHEAD's partners and clients. AHEAD's two-year anniversary is in Minneapolis. First established in February 2017 with 5 people, then had 31 people by end of 2018. AHEAD will continue to aggressively hire local IT talent...</t>
  </si>
  <si>
    <t>https://www.prweb.com/releases/ahead_expands_presence_in_minneapolis_opens_new_office_in_edina_tech_center_to_accommodate_rapid_growth/prweb16096731.htm</t>
  </si>
  <si>
    <t>5151 Edina Industrial Blvd</t>
  </si>
  <si>
    <t>Essentia Health has purchased the former Younkers store at the Miller Hill Mall in Duluth. Essentia Health plans to invest $15 million in the purchase and remodeling of the 145,000-square-foot department store. The Essentia Health Fitness &amp; Therapy Center will move into the first floor this fall. Plans are being developed for the rest of the building. The new center will replace the one on Essentia's downtown Duluth campus; staff from downtown will relocate to the mall location.</t>
  </si>
  <si>
    <t>https://www.essentiahealth.org/about/media-article-library/2019/essentia-health-purchases-former-younkers-store/</t>
  </si>
  <si>
    <t>1600 Miller Trunk Hwy</t>
  </si>
  <si>
    <t>Branch Messenger</t>
  </si>
  <si>
    <t>Branch is up for a South by Southwest award as the firm expands features for workers on its scheduling app, such as swapping shifts with co-workers and collecting an advance on pay after completing a shift. Branch does not charge employees for its services. Employers pay a fee per employee to use the app as their scheduling tool. After receiving $10 million in venture funding in 2017, it has expanded to 50, with plans to add 20 more employees.</t>
  </si>
  <si>
    <t>http://www.startribune.com/minneapolis-startup-company-adds-pay-advances-to-scheduling-app-features/505900772/</t>
  </si>
  <si>
    <t>60 South 6th St Ste 2800</t>
  </si>
  <si>
    <t>Chuck &amp; Don's</t>
  </si>
  <si>
    <t>Chuck &amp; Don's, the Twin Cities chain of pet-supply stores that was just acquired by a New York buyer (Independent Pet Partners, IPP), may boost its local workforce and add grooming and daycare services following the deal, Tom Murphy, Chuck &amp; Don's CFO, said. Chuck &amp; Don's is working on integrating plans with IPP staff in its Mahtomedi headquarters. It currently has 55 corporate employees. IPP will use the space as a co-HQ and add some IPP mgrs. IPP will add new services, remodel some stores.</t>
  </si>
  <si>
    <t>https://www.bizjournals.com/twincities/news/2019/02/20/whats-next-for-chuck-dons-after-buyout-more.html</t>
  </si>
  <si>
    <t>910 Wildwood Rd</t>
  </si>
  <si>
    <t>Independent Pet Partners, IPP</t>
  </si>
  <si>
    <t>Rachel Contracting</t>
  </si>
  <si>
    <t>St. Michael</t>
  </si>
  <si>
    <t xml:space="preserve">The St. Michael City Council approved plans for Rachel Contracting to construct a new two-story headquarters at its current site at Hwy. 241.  The company, located at the Hwy. 241 Business Park, proposes a 28,000-square-foot, two-story office building. Rachel will continue to use its existing adjacent building at Napier Court for maintenance and storage. </t>
  </si>
  <si>
    <t>HQ, OF</t>
  </si>
  <si>
    <t>https://www.hometownsource.com/press_and_news/community/stmichael/st-michael-approves-new-rachel-contracting-headquarters/article_54eddcfa-3601-11e9-b835-273c20abded1.html#:~:text=Michael%20City%20Council%20approved%20plans,241.&amp;text=WhatsApp-,The%20St.,its%20current%20site%20at%20Hwy.</t>
  </si>
  <si>
    <t>4180 Napier Ct NE</t>
  </si>
  <si>
    <t xml:space="preserve">3M Co. opened a new Consumer Data Science and Merchandising Lab at its Maplewood headquarters to help retailers and 3M boost product sales, find efficiencies in the factory-to-delivery process and even test if the type on labels is the right size. 3M's Consumer Business Group spent two years developing the multimillion-dollar initiative and last year building out the large and sleek space. The lab is split into three distinct areas: Data Science and Analytics, Visualization, and Retail. </t>
  </si>
  <si>
    <t>http://www.startribune.com/3m-s-opens-multimillion-dollar-consumer-data-lab-on-maplewood-campus/506397902/</t>
  </si>
  <si>
    <t>3M Center</t>
  </si>
  <si>
    <t>Trimble (aka PeopleNet Communications)</t>
  </si>
  <si>
    <t>Minnetonka-based PeopleNet plans to add about 250 full-time employees to its current staff of 483. PeopleNet makes mobile devices and systems for fleets of commercial vehicles. The company currently leases space in three offices in Minnetonka and in a warehouse in Eden Prairie that functions as office space. PeopleNet plans to enter into a long-term lease for about 146,500 square feet at 4400 Baker Road, and add new space at 4350 Baker Road. Estimated cost is $12.5 million. Update: 10/1/19 JCF award $600,000</t>
  </si>
  <si>
    <t>https://www.bizjournals.com/twincities/news/2019/02/26/peoplenet-planning-to-add-250-jobs-in-minnetonka.html</t>
  </si>
  <si>
    <t>4350 Baker Road</t>
  </si>
  <si>
    <t>HOYA Vision Care North America (dba Vision Ease)</t>
  </si>
  <si>
    <t>Vision Ease is a leading manufacturer of ophthalmic lenses through superior technological ingenuity. This project would bring a large Rx manufacturing site into the existing Vision Ease facility. The total project cost is expected to be $25 million. The company expects to create 200 new jobs within 3 years. JCF award $450,000</t>
  </si>
  <si>
    <t>https://mn.gov/deed/newscenter/press-releases/?id=373430. Update 8/2019 https://blog.hoyavision.com/en-us/hoya-minute/ramsey-lab-opening</t>
  </si>
  <si>
    <t>MN DEED</t>
  </si>
  <si>
    <t>7000 Sunwood Dr NW</t>
  </si>
  <si>
    <t>HOYA</t>
  </si>
  <si>
    <t>QA1 Precision Products Inc</t>
  </si>
  <si>
    <t>QA1 Offers an extensive line of American made shock absorbers, driveshafts, and accessories. The company plans to expand its presence into Lakeville and create 30 jobs within three years. . FROM LAKEVILLE CITY COUNCIL: The company is looking to develop a new 100,000 square foot facility that would replace two adjacent buildings owned by QA1. The expansion would see a growth of 44 new positions in the next five years. DEED 2/2019: JCF $350,000, MIF $100,000. Also $526,015 TIF from Lakeville</t>
  </si>
  <si>
    <t>http://la-img.ci.lakeville.mn.us/WebLink/DocView.aspx?dbid=0&amp;id=1566084&amp;page=1&amp;cr=1</t>
  </si>
  <si>
    <t>21730 Hanover Ave</t>
  </si>
  <si>
    <t>JCF, MIF, TIF</t>
  </si>
  <si>
    <t>Lyft</t>
  </si>
  <si>
    <t>Lyft, the popular ride-hailing service, has opened a small office at 2120 Rice St. in St. Paul. Opening the facility is an initial step in San Francisco-based Lyft's entrance into the Twin Cities market. It plans to open a larger office in the Twin Cites later this year. The 1,500-square-foot driver support center will help expedite the on-boarding process for Lyft drivers and provide a space for troubleshooting and recruiting resources.</t>
  </si>
  <si>
    <t>https://www.bizjournals.com/twincities/news/2019/02/28/lyft-opens-first-physical-presence-in-twin-cities.html</t>
  </si>
  <si>
    <t>2120 Rice</t>
  </si>
  <si>
    <t>Coworking giant WeWork is opening a third Twin Cities location. WeWork has signed a lease for 73,000 square feet in The Nordic, a 10-story mixed-use tower United Properties is building at 729 Washington Ave. N. The New York-based company will have 4 floors (4th-7th). One floor has outdoor terrace space for WeWork members. When it opens in July and December, the North Loop location will bring WeWork's total Twin Cities north of 200,000 square feet. Other offices: Uptown, downtown Mpls</t>
  </si>
  <si>
    <t>https://www.bizjournals.com/twincities/news/2019/02/28/wework-adding-yet-another-twin-cities-location.html</t>
  </si>
  <si>
    <t>729 N Washington Ave</t>
  </si>
  <si>
    <t>Tennant Co</t>
  </si>
  <si>
    <t>The Star Tribune reports on plans by Tennant (NYSE: TNC) to buy a 40-acre office complex at 3 Capital Drive in Eden Prairie. It will move 500 people there next year from the company's current headquarters in Golden Valley, where it's been based since the 1950s. Tennant will be working with the Minneapolis office of Gensler on renovatng the new space. It is expected to be move-in ready in the first half of 2020. Will keep Golden Valley space for manufacturing &amp; engineering. 4/2019: bldg cost: $13m</t>
  </si>
  <si>
    <t xml:space="preserve">https://www.bizjournals.com/twincities/news/2019/03/06/tennant-will-buy-40-acre-office-complex-will-move.html </t>
  </si>
  <si>
    <t>701 N Lilac Dr</t>
  </si>
  <si>
    <t>Fresha</t>
  </si>
  <si>
    <t>FRESHA LLC appears to have found a site near Morris for its proposed carrot-washing plant, at 23325 480th Ave., Morris. The processing warehouse would also including polishing, sorting, packaging, storing of locally-grown carrots. They would also like to construct a wastewater pond to collect and store the plant wash water and irrigate the surrounding farmland. The carrots would be shipped to buyers from that plant. Would create 6 full-time jobs at the start and 4 part-time jobs. Construction to begin this spring.</t>
  </si>
  <si>
    <t>https://www.stevenscountytimes.com/news/government-and-politics/4583528-carrot-washing-plant-seeks-site-near-morris-zoning-hearings-set</t>
  </si>
  <si>
    <t>JAMF Software</t>
  </si>
  <si>
    <t>Dean Hager is CEO of Jamf, a role he's held for four years now. During that time, he's helped lead the maker of software that organizations use to manage Apple Inc. devices through its sale to Vista Equity Partners, two recent business acquisitions, and significant growth in revenue and headcount. "We're going to hire this year alone over 150 people in America, and the bulk of that is in Minneapolis". Update 9/2019: "The company currently has 30 open positions in Minneapolis on its website."</t>
  </si>
  <si>
    <t>https://www.bizjournals.com/twincities/news/2019/03/19/after-sale-to-private-equity-jamf-has-kept-growth.html</t>
  </si>
  <si>
    <t>301 4th Ave S Ste 1075</t>
  </si>
  <si>
    <t>Morey's Seafood Intl</t>
  </si>
  <si>
    <t>Morey's Seafood International, a Golden Valley-based manufacturer of fish and seafood products, will move its regional distribution and corporate office into a larger, renovated facility in Plymouth. The 65,000-square-foot space is located at 2100 Xenium Avenue N., which Morey's bought in April 2018 for $3,250,000. Approximately 50 employees will move to the new Plymouth facility. Morey's has operated in a 20,000-square-foot corporate office, processing and distribution plant in Golden Valley since 1988.</t>
  </si>
  <si>
    <t>Headquarters; Manufacturing; Distribution Center</t>
  </si>
  <si>
    <t>https://www.bizjournals.com/twincities/news/2019/03/13/moreys-seafood-will-move-its-corporate-office-from.html</t>
  </si>
  <si>
    <t>2100 Xenium Ave N</t>
  </si>
  <si>
    <t>Die Technology</t>
  </si>
  <si>
    <t>Osseo</t>
  </si>
  <si>
    <t>Dale Skoog, president and general manager of Osseo-based Die Technology Inc., said that Die Technology has 25 employees and expects to hire two to three this year. Update 12/2019 Named Small Manufacturer of the Year by Minneapolis St. Paul Business Journal - "To foster that (growth), Skoog said it’s probable that a new facility will be constructed in the next couple years, but still with both companies together."</t>
  </si>
  <si>
    <t>http://www.startribune.com/osseo-tooling-manufacturer-die-technology-launches-precision-machining-company/507225412/</t>
  </si>
  <si>
    <t>8820 Jefferson Hwy</t>
  </si>
  <si>
    <t>Nanotech Precision</t>
  </si>
  <si>
    <t>Nanotech Precision, incubated within Die Technology for the past few years, specializes in high-volume machining of complex small and micro-sized instruments, electrodes and components for the medical, electronic and aerospace industries. They are used in such products as minimally invasive catheters and heart rhythmic device components. The two firms separated at the start of 2019, company president and GM Dale Skoog said. Nanotech Precision has 20 employees and is looking to add five.</t>
  </si>
  <si>
    <t>The Landline Company</t>
  </si>
  <si>
    <t>New to MN. A California-based bus operator plans to launch service in Mankato and Duluth this summer, offering rides for as little as $9 to Minneapolis-St. Paul International Airport, where it's partnering with a low-cost airline. The first trip to Minneapolis will be on June 4, with a daily schedule of four trips in each direction. A similar service will begin in Mankato, Minn., on June 6. Landline is leasing space from the airport that hadn't previously been used.</t>
  </si>
  <si>
    <t>https://www.bizjournals.com/twincities/news/2019/03/18/bus-service-plans-9-routes-from-mankato-duluth-to.html</t>
  </si>
  <si>
    <t>3030 N Airport Rd</t>
  </si>
  <si>
    <t>Santa Monica</t>
  </si>
  <si>
    <t>Minneapolis-based retailer pushes toward its multiyear effort to overhaul more than 1,000 locations by the end of 2020. Out of about 300 stores slated for an end-to-end makeover in the year ahead, 14 of them are in Minnesota. The retailer will spend $50 million to redo nine in the Twin Cities. An average-size store costs about $5 million to update, while a SuperTarget costs about double.</t>
  </si>
  <si>
    <t>http://www.startribune.com/target-will-do-end-to-end-makeovers-of-14-minnesota-stores-in-2019/507546752/</t>
  </si>
  <si>
    <t>Alexandria Industries</t>
  </si>
  <si>
    <t>Alexandria</t>
  </si>
  <si>
    <t>Douglas</t>
  </si>
  <si>
    <t>Alexandria Industries is planning a $17.8 million expansion, of which $13 million will be in new equipment including a new aluminum extrusion press. Alexandria Industries plans to add 19,000 square feet to its building at 401 County Road 22 NW, known as Alexandria Extrusion Company. This will increase the size of the current 172,000-square-foot building by about 11 percent. It will include a warehouse, manufacturing space, office space and new equipment. DEED Job Creation Fund award $175,000</t>
  </si>
  <si>
    <t>https://www.echopress.com/news/4589707-alexandria-industries-plans-18m-expansion</t>
  </si>
  <si>
    <t>Echo Press, DEED</t>
  </si>
  <si>
    <t>401 County Rd 22 NW</t>
  </si>
  <si>
    <t>Gensler</t>
  </si>
  <si>
    <t>Gensler's own cramped downtown offices consisted of mostly one room with views of an alley. In a few weeks when Gensler almost doubles its space with a move from its office in the Young-Quinlan Building to an almost 7,900-square-foot home on the top office floor of the Baker Center a couple blocks away. Gensler employees will move by the beginning of May with a grand opening planned for mid-July. The firm's move coincides with its plan to double its staff of 30 employees in the next five years.</t>
  </si>
  <si>
    <t>http://www.startribune.com/design-firm-gensler-will-move-to-a-larger-minneapolis-office-in-baker-center/507641832/</t>
  </si>
  <si>
    <t>81 S 9th St Ste 200</t>
  </si>
  <si>
    <t>Lake View Memorial Hospital</t>
  </si>
  <si>
    <t>Two Harbors</t>
  </si>
  <si>
    <t>Lake</t>
  </si>
  <si>
    <t xml:space="preserve">The Lake View Hospital and Lake View Clinic in Two Harbors share a name but have been two separate buildings for years. Now, An expansion will connect the hospital and medical clinic into one contiguous campus. 
Estimated cost:  $15 million project. The two-floor new building/expansion will have one main entry for outpatient services, a 2,000 square-foot public meeting space, a lab and specialty clinic. Expected completion: fall of 2019. Lake View is a subsidiary of St. Luke's. Update 5/2019: Construction work begins on the two-story, 38,000-square foot building. </t>
  </si>
  <si>
    <t xml:space="preserve">http://www.businessnorth.com/businessnorth_exclusives/lake-view-hospital-in-two-harbors-expanding/article_0ef9d73e-4f1b-11e9-b051-a34eb2d82456.html  </t>
  </si>
  <si>
    <t>325 11th Ave</t>
  </si>
  <si>
    <t>St. Luke's Regional Health Care System</t>
  </si>
  <si>
    <t>Airgas</t>
  </si>
  <si>
    <t>Airgas USA, a Philadelphia-based company, sells liquid oxygen, nitrogen and argon for use in manufacturing, medicine and other industries. The company is building a new $54 million plant in Cottage Grove. The plant will consist of two buildings of 17,000 square feet, an outdoor tank farm and a trucking terminal on 8.5 acres. Expected to open in 2020. Cottage Grove TIF $437K. DEED MIF $250K, $175K JCF</t>
  </si>
  <si>
    <t>https://finance-commerce.com/2019/03/cottage-grove-to-get-54-million-airgas-plant/</t>
  </si>
  <si>
    <t>JCF, TIF, MIF</t>
  </si>
  <si>
    <t>Airgas USA</t>
  </si>
  <si>
    <t>Radnor</t>
  </si>
  <si>
    <t>PA</t>
  </si>
  <si>
    <t>Calabrio</t>
  </si>
  <si>
    <t>Tom Goodmanson, the Minneapolis-based company's CEO, interview. Q: How has Calabrio fared since the sale to KKR? A: We're up about 125 percent in revenue since the acquisition. We're up to 425 people, with about 350 in Minneapolis. We've got another 70 slated for this office. . Q: Will growth continue to be focused in Minneapolis? A: From a headquarters perspective, yes, most of the growth will be in Minneapolis.</t>
  </si>
  <si>
    <t>https://www.bizjournals.com/twincities/news/2019/03/27/calabrio-ceo-growth-has-boomed-since-sale-to-kkr.html</t>
  </si>
  <si>
    <t>400 First Ave N</t>
  </si>
  <si>
    <t>Enviroserve</t>
  </si>
  <si>
    <t>EnviroServe and Sunpro, are combining under the EnviroServe brand and adding three new regional offices in the areas of Detroit, MI; Columbus, OH; and Minneapolis-St. Paul, MN. EnviroServe provides comprehensive environmental and rail services to safely remediate and prevent environmental releases, manage waste, and respond to emergency and catastrophic events. The EnviroServe Detroit Regional Office is now operational, with the Columbus and Minneapolis-St. Paul locations opening in spring.</t>
  </si>
  <si>
    <t>https://www.businesswire.com/news/home/20190327005719/en/EnviroServe-Sunpro-Combine-EnviroServe-Brand-Announce-New</t>
  </si>
  <si>
    <t>Diakin Applied Americas</t>
  </si>
  <si>
    <t>Daikin Applied, the air conditioning and heating systems maker is now planning to expand in its headquarters town of Plymouth. A subsidiary of Japanese parent company Daikin Industries Ltd., Daikin Applied is leasing new office space at the Atria building at 3033 Campus Drive. The new space means new jobs, though Daikin Applied did not yet disclose specifics of what positions and how many jobs will go into the space, nor did the company disclose the exact size of the office.</t>
  </si>
  <si>
    <t>http://tcbmag.com/news/articles/2019/march/hvac-manufacturer-daikin-announces-second-expansion-in-six-months</t>
  </si>
  <si>
    <t>3033 Campus Dr</t>
  </si>
  <si>
    <t>Daikin Industries</t>
  </si>
  <si>
    <t>Enservio</t>
  </si>
  <si>
    <t>Key leadership positions will move to Eagan from Enservio's Boston offices over the next nine to 12 months, Brian Filip said. Brian Filip, managing director of Enservio, is leading the expansion of its Twin Cities office to serve as a headquarters for the global provider of contents software and claims services solutions in the property and casualty insurance market. Q: What is driving the move to make Minneapolis Enservio's HQ' A:The impetus...is to start the cross-pollination of innovation</t>
  </si>
  <si>
    <t>http://www.startribune.com/movers-amp-shakers-new-enservio-leader-plans-twin-cities-headquarters-for-insurance-software-firm/507860072/</t>
  </si>
  <si>
    <t>Solera Holdings Inc</t>
  </si>
  <si>
    <t>Westlake</t>
  </si>
  <si>
    <t>2019-Q2</t>
  </si>
  <si>
    <t>Kato Engineering (Nidec Power)</t>
  </si>
  <si>
    <t>Kato Engineering's parent company, Nidec Corp., has big ambitions for the next decade, and officials based in North Mankato foresee an expanding workforce as those ambitions are realized on a global and local level. The plant produces a broad range of motor-generator alternators for industries ranging from aviation and energy to defense and construction. The local plant has about 15 positions available ranging from entry-level manufacturing jobs to skill-specific jobs in professional occupation.</t>
  </si>
  <si>
    <t>Utilities</t>
  </si>
  <si>
    <t>https://www.mankatofreepress.com/news/local_news/kato-engineering-predicts-rapid-growth-more-jobs/article_5c5932c8-4b28-11e9-9b26-ff9d74acd71b.html</t>
  </si>
  <si>
    <t>2075 Howard Dr</t>
  </si>
  <si>
    <t>Nidec</t>
  </si>
  <si>
    <t>Kyoto</t>
  </si>
  <si>
    <t>BlackLight Adventures</t>
  </si>
  <si>
    <t>Jay and Tina Mrozek are opening BlackLight Adventures next to Burlington Coat Factory. The attraction will include a 3,000-square-foot laser tag arena, two adventure rooms, an arcade and private party rooms. BlackLight Adventures, projected to open in June, is filling the roughly 10,000-square-foot former liquor store space on the north side of the building at 240-33rd Ave. S.</t>
  </si>
  <si>
    <t>https://www.sctimes.com/story/money/2019/04/02/st-cloud-business-family-entertainment-blacklight-adventures-open-june/3277442002/</t>
  </si>
  <si>
    <t>St. Cloud Times</t>
  </si>
  <si>
    <t>240 33rd Ave S</t>
  </si>
  <si>
    <t>Cold Spring Brewing Co</t>
  </si>
  <si>
    <t>Cold Spring Brewing Company is adding 300,000-square-feet of leased space to their warehouse. The expansion will bring the total warehouse capacity to over one-million-square-feet. Cold Spring Brewing General Manager Scott Bender says they have entered a five-year lease agreement to rent the former Creative memories manufacturing space in St. Cloud. The expanded warehouse will create 100 new jobs. Last year, CSBC opened a 300,000-square-foot facility in Cold Spring and already outgrew the space</t>
  </si>
  <si>
    <t>https://www.sctimes.com/story/money/2019/04/04/cold-spring-brewing-st-cloud-beer-expansion-jobs/3368412002/</t>
  </si>
  <si>
    <t>6401 8th Ave</t>
  </si>
  <si>
    <t>AMD Distribution</t>
  </si>
  <si>
    <t>Spring Valley</t>
  </si>
  <si>
    <t>Fillmore</t>
  </si>
  <si>
    <t>Spring Valley was awarded $608,966 from DEED's BDPI (Business Development Public Infrastructure) program to add water, sewer, and streets necessary to enlarge their business park, where AMD Distribution plans to complete a $1.2 million expansion that will retain 29 employees and add eight new jobs.</t>
  </si>
  <si>
    <t>Headquarters; Distribution Center</t>
  </si>
  <si>
    <t>https://mn.gov/deed/newscenter/press-releases/?id=379339#/detail/appId/1/id/378791</t>
  </si>
  <si>
    <t>1021 Kasten Dr</t>
  </si>
  <si>
    <t>Kappers Fabricating Inc</t>
  </si>
  <si>
    <t>Spring Valley was awarded $608,966 from BDPI program to add water, sewer, and streets necessary to enlarge their business park, where Kapper's Fabricating is planning to complete a $950,000 expansion that will retain 37 employees and add 20 jobs.</t>
  </si>
  <si>
    <t>https://mn.gov/deed/newscenter/press-releases/'id=379339#/detail/appId/1/id/378791</t>
  </si>
  <si>
    <t>1015 Industrial Dr</t>
  </si>
  <si>
    <t>HistoSonics</t>
  </si>
  <si>
    <t>HistoSonics, a company developing ultrasound-powered technology to fight cancer, announced Monday that it had closed on a $54 million Series C round to prepare for commercialization of its medical device. The company's sole physical office is located in Ann Arbor, but CEO Blue is based in Minneapolis. HistoSonics will use some of the new funding to open an office in Minneapolis, where five to 10 employees will be based by the end of the year, a spokesman for the company said.</t>
  </si>
  <si>
    <t>https://www.bizjournals.com/twincities/news/2019/04/09/cancer-killing-wave-company-histosonics-closes-on.html</t>
  </si>
  <si>
    <t>Ann Arbor</t>
  </si>
  <si>
    <t>MI</t>
  </si>
  <si>
    <t>Northrop Grumman Innovation Systems</t>
  </si>
  <si>
    <t>Develops and produces small-, medium- and large-caliber ammunition, precision weapons and munitions, high-performance gun systems, and propellant and energetic materials. Alliant Techsystems Operation is proposing improvements to their existing 191,000 sf facility in Plymouth. The total project cost is $21 million, including expansion and renovations to an existing building. The company expects to create 65 jobs within 3 years paying an average of $40.06/hour. Awarded MIF $600K; JCF $700K.</t>
  </si>
  <si>
    <t>https://mn.gov/deed/ed/about-us/news-events/press-releases/ed-press-releases.jsp?id=1045-380038</t>
  </si>
  <si>
    <t>4700 Nathan Lane N</t>
  </si>
  <si>
    <t>MIF $600K, JCF $700K</t>
  </si>
  <si>
    <t>Northrop Grumman</t>
  </si>
  <si>
    <t>Falls Church</t>
  </si>
  <si>
    <t>VA</t>
  </si>
  <si>
    <t>Steinwall Inc</t>
  </si>
  <si>
    <t>Coon Rapids</t>
  </si>
  <si>
    <t>Steinwall, a plastic injection molding and manufacturing company in Coon Rapids, will spend $8.6 million for purchase &amp; improvemts of a building to move its Brooklyn Park operations closer to its headquarters. Steinwall bought a 145,775-square-foot multitenant office warehouse on 11.69 acres at 11225 Xeon St. NW in Coon Rapids, and sold its Brooklyn Park office/warehouse. Coon Rapids Housing and Redevelopment Authority (HRA) loan $200K for equipment and renovations</t>
  </si>
  <si>
    <t>https://finance-commerce.com/2019/04/just-sold-steinwall-growth-draws-nystrom-to-brooklyn-park/</t>
  </si>
  <si>
    <t>11225 Xeon St. NW</t>
  </si>
  <si>
    <t>Coon Rapids HRA loan</t>
  </si>
  <si>
    <t>200000</t>
  </si>
  <si>
    <t>Rally Health</t>
  </si>
  <si>
    <t>UnitedHealth Group's Rally Health division is trying to grow in the crowded digital health market while expanding its downtown Minneapolis workforce.  148 Rally employees in Minneapolis. Expect that number to increase as the company fills out its 40,000 square feet in the Millwright Building. Rally also has first leasing rights to the floor below. Based in Washington, D.C., Rally Health moved to the Twin Cities in 2018. UnitedHealth Group acquired a stake in the business that's become Rally Health in 2014.</t>
  </si>
  <si>
    <t>http://www.startribune.com/unitedhealth-grows-digital-health-business-in-minneapolis/508838842/</t>
  </si>
  <si>
    <t>Star Tribune, MSP Business Journal</t>
  </si>
  <si>
    <t>533 S 3rd St Ste 400</t>
  </si>
  <si>
    <t>District of Columbia</t>
  </si>
  <si>
    <t>RMB Environmental Laboratories Inc</t>
  </si>
  <si>
    <t>RMB Environmental Laboratories, Inc. is finalizing a deal that will allow the company to expand to Hibbing this year. RMB will move into roughly 17,000 square feet of the Vidovic building, located in the Hibbing Industrial Park. Major lab buildout will cost $1.2 million. Includes loan of $250,000 from HEDA (Hibbing EDA) and zero interest 20-year loan and leasing agreement from DIRR. RMB plans on hiring 20 people over the course of the next two years, with wages ranging from $30,000 to $50,000/yr plus benefits</t>
  </si>
  <si>
    <t>http://bit.ly/2vj9psu</t>
  </si>
  <si>
    <t>1111 7th Ave E</t>
  </si>
  <si>
    <t>HEDA Loan</t>
  </si>
  <si>
    <t>250000</t>
  </si>
  <si>
    <t>Taft Stettinius &amp; Hollister (formerly Briggs &amp; Morgan PA)</t>
  </si>
  <si>
    <t>Minneapolis law firm Briggs and Morgan signed a new lease through 2034 for 93,000 square feet of space in the 1.24 million-square-foot IDS tower at 80 Eighth St. S. and started renovation work last summer. The firm, which employs 250 people , will renovate office on floors 22 through 25. Update 8/2019: Briggs and Morgan has agreed to merge with Taft Stettinius &amp; Hollister, continuing a shake up of the large law firms in the Twin Cities. The combined operation will take the Taft name.</t>
  </si>
  <si>
    <t>https://finance-commerce.com/2019/04/briggs-and-morgan-extend-life-of-ids-offices/</t>
  </si>
  <si>
    <t>80 S 8th St Ste 2200</t>
  </si>
  <si>
    <t>DHL Express</t>
  </si>
  <si>
    <t>International shipping firm DHL has moved its service center facility into a more efficient $1.63 million facility at Minneapolis St. Paul Airport. DHL officials said the investment will help the firm address increasing e-commerce orders and improve customer service. The new 33,284 square-foot facility is at 1940 Cargo Rd. at the Minneapolis-St. Paul airport. DHL relocated 100 employees and 70 vehicles to the new site.</t>
  </si>
  <si>
    <t>http://www.startribune.com/dhl-moves-to-1-6-million-digs-at-minneapolis-airport/508913532/</t>
  </si>
  <si>
    <t>1940 Cargo Rd</t>
  </si>
  <si>
    <t>Deutsche Post DHL</t>
  </si>
  <si>
    <t>Bonn</t>
  </si>
  <si>
    <t>Taoglas</t>
  </si>
  <si>
    <t>Taoglas, a leading provider of IoT antenna and RF solutions, announced the opening of its new downtown Minneapolis facility to support the increasing demand for its products and services for development of Internet of Things (IoT) devices and solutions. New facility is on the 1st floor of The 15 Building, has a state-of-the-art antenna and RF test and design laboratory. Taoglas Minneapolis opened 6 yrs ago with a small facility. has 7 employees. Taoglas invested millions into the new lab.</t>
  </si>
  <si>
    <t>https://finance.yahoo.com/news/taoglas-opens-iot-design-support-120000974.html</t>
  </si>
  <si>
    <t>Yahoo Finance</t>
  </si>
  <si>
    <t>15 S 5th St Ste 150</t>
  </si>
  <si>
    <t>Enniscorthy</t>
  </si>
  <si>
    <t>Absolute Air</t>
  </si>
  <si>
    <t>Faribault City Council voted to approve several variances needed by Absolute Air LLC for a $32 million plant in Faribault. Absolute Air, a joint venture by five smaller gas and welding supply distributors working with the Independent Welding Distributors Cooperative, hopes to break ground in the next month. The project comes in response to a growing trend of consolidation in the liquid gas market. Location is just off Interstate 35 on the north side of town, and will hire about five employees</t>
  </si>
  <si>
    <t>https://finance-commerce.com/2019/04/two-more-air-separation-plans-in-works/</t>
  </si>
  <si>
    <t>IWDC</t>
  </si>
  <si>
    <t>Indianapolis</t>
  </si>
  <si>
    <t>IN</t>
  </si>
  <si>
    <t>At Last Gourmet Foods Inc</t>
  </si>
  <si>
    <t>At Last! Gourmet Foods Inc., a Minneapolis-based soup manufacturer, won a bid to purchase the current home of the Metro Transit Police Department for $1.65 million, which includes a 13,500-square-foot building. It is adjacent to At Last's HQ. The new space will be used to expand At Last's capabilities to produce its fresh, made-from-scratch soups. Schreck believes the new location will house about 40 total employees - hiring 25 new mfg workers, and shifting 15 office workers to the new space.</t>
  </si>
  <si>
    <t>https://www.bizjournals.com/twincities/news/2019/04/25/soup-maker-taking-over-south-minneapolis-transit.html</t>
  </si>
  <si>
    <t>2101 E 24th St</t>
  </si>
  <si>
    <t>Blattner Energy</t>
  </si>
  <si>
    <t>Avon</t>
  </si>
  <si>
    <t>Greater St Cloud Development Corp (SDC) is working with Blattner Energy and DEED in applying for the Job Creation Fund which would support an expansion at their current Headquarters in Avon. The expansion would be approximately 25,000-35,000 SF and support up to 15-25 new high paying jobs. Awarded $175,000 from JCF</t>
  </si>
  <si>
    <t>https://wjon.com/blattner-energy-expanding-avon-headquarters/</t>
  </si>
  <si>
    <t>400 County Rd 50</t>
  </si>
  <si>
    <t>175000</t>
  </si>
  <si>
    <t>Bright Health</t>
  </si>
  <si>
    <t>Venture-backed insurance startup Bright Health's record $200 million raise last November helped the Minneapolis company close out 2018 with triple the revenue it reported a year prior and expand into new markets.Bright Health CEO Bob Sheehy: "We had, a couple years ago, about 30 or 40 people in the company. Now we have about 250, and we'll have 400 by the beginning of next year. About half of those people will be in the Twin Cities." Update 12/2019: Bright Health raised another $635 million to support expansion efforts.</t>
  </si>
  <si>
    <t>https://www.bizjournals.com/twincities/news/2019/04/26/bright-health-on-track-for-big-growth-after-record.html</t>
  </si>
  <si>
    <t>219 N 2nd St Ste 401</t>
  </si>
  <si>
    <t>Twin Pines Metrology</t>
  </si>
  <si>
    <t>Stacy</t>
  </si>
  <si>
    <t>Chisago</t>
  </si>
  <si>
    <t>Fox Valley Metrology is planning to expand their existing building by 7,290 sq. Ft and is looking at purchasing the lot to the south of their existing building for this expansion. Plans also include expanding fiber to the Stacy Ponds Business Park. Fox Valley is seeking tax abatement from City of Stacy (motion passed), modifications to existing building and associated site improvements. May 2019: Job Creation Award $180K</t>
  </si>
  <si>
    <t>https://www.stacymn.org/index.asp?SEC=DA2F1F22-E77C-4940-B763-61522F8EB5DD&amp;Type=B_BASIC</t>
  </si>
  <si>
    <t>30447 Stacy Ponds Dr</t>
  </si>
  <si>
    <t>Metro Self Storage</t>
  </si>
  <si>
    <t>Metro Self Storage, based in Lake Forest, Illinois, plans to build a 138,000-square-foot self-storage facility at 3021 124th Ave., a 2.73-acre vacant lot in the southwest quadrant of Highway 10 and Main Street. The three-story building will contain 1,084 indoor units. The project was submitted in February and went before the city Planning Commission in April. The company currently runs seven self-storage locations around the Twin Cities, including Blaine and Maple Grove in the north metro.</t>
  </si>
  <si>
    <t>https://finance-commerce.com/2019/05/self-storage-warehouse-planned-in-coon-rapids/</t>
  </si>
  <si>
    <t>3021 124th Ave</t>
  </si>
  <si>
    <t>Lake Forest</t>
  </si>
  <si>
    <t>Granicus (GovDelivery)</t>
  </si>
  <si>
    <t>Downtown St. Paul is the fastest-growing office for Denver-based Granicus, the growing provider of digital-communication services to local, state and national government agencies, according to CEO Mark Hynes. Hynes said the consolidated revenue of Granicus will top $100 million this year, compared to $40 million in 2016. Employment has grown from 100 to 130 in St. Paul, and the office has 10 job openings</t>
  </si>
  <si>
    <t>http://www.startribune.com/granicus-grows-in-st-paul/509390712/</t>
  </si>
  <si>
    <t>408 St Peter St Ste 600</t>
  </si>
  <si>
    <t>Vista Equity Partners</t>
  </si>
  <si>
    <t>Zierke Built Manufacturing Inc</t>
  </si>
  <si>
    <t>Martin</t>
  </si>
  <si>
    <t>Zierke Built Manufacturing plans to expand its services. These require the use of a brake press and a laser cutter, which is what the requested funds will be used for. Zierke Built Manufacturing has hired about 50 people in Fairmont. Awarded $300K From MIF, via Fairmont EDA. Expanding its operations with the new equipment will allow the business to hire an extra 20 people over three years.</t>
  </si>
  <si>
    <t>https://www.shop.minutemanpress.com/news/midwest/minnesota/fairmont/zierke-built-manufacturing-expands-into-fairmont-142147.html</t>
  </si>
  <si>
    <t>1500 Winnebago Ave</t>
  </si>
  <si>
    <t>MIF</t>
  </si>
  <si>
    <t>Media Minefield</t>
  </si>
  <si>
    <t>When Minnetonka-based Media Minefield signed a seven-year lease for its offices at 10590 Wayzata Blvd., CEO Kristi Piehl thought it would take at least that long for the young public relations company to fill 7,000 square feet of space. Three years later, the company has 27 employees and is spilling into the building's plaza for lack of room. The company is expanding into an additional 3,500 square feet adjacent to its current office.</t>
  </si>
  <si>
    <t>https://finance-commerce.com/2019/05/media-minefield-expands-in-minnetonka/</t>
  </si>
  <si>
    <t>10590 Wayzata Blvd</t>
  </si>
  <si>
    <t>Amazon.com has quietly been building a 67,000-square-foot last-mile delivery station in Maple Grove as the company looks to speed up its shipping times. the Seattle-based e-commerce giant has signed a lease for Duke Realty's under-construction Park 81 North building at 10655 Country Road 81. Amazon will take the entire building. The project's cost, according to a building permit, is $4.9 million. It's expected to be complete in the third quarter of this year. Estimated 45 jobs based on parking'</t>
  </si>
  <si>
    <t>https://www.bizjournals.com/twincities/news/2019/05/07/amazon-building-last-mile-facility-in-maple-grove.html.</t>
  </si>
  <si>
    <t>10655 Country Road 81</t>
  </si>
  <si>
    <t>Hennepin Healthcare System</t>
  </si>
  <si>
    <t>Hennepin Healthcare will open a perinatal mental health facility with $10 million gift, targeting anxiety, depression among new mothers. The undertreated problem of depression among new mothers is getting intensified focus at a new center that will offer treatment and therapy; child care for parents during appointments; classroom space; and even a kitchen for cooking classes. Hennepin Healthcare will break ground on a new building in downtown Minneapolis this fall - expected completion in 2020.</t>
  </si>
  <si>
    <t>http://www.startribune.com/innovative-minneapolis-medical-center-will-target-the-depression-anxiety-of-new-moms/509593022/?refresh=true</t>
  </si>
  <si>
    <t>901 S 6th St</t>
  </si>
  <si>
    <t>Sappi Fine Paper North America</t>
  </si>
  <si>
    <t>Cloquet</t>
  </si>
  <si>
    <t>Carlton</t>
  </si>
  <si>
    <t>Sappi North America announced Tuesday it had completed a $25 million investment in the Cloquet mill. "We are pleased that this investment brings an additional 30,000 tons per year of pulp production capability to better serve our dissolving wood pulp customers," Mike Schultz, managing director of the Sappi Cloquet Mill. Dissolving wood pulp is used as a textile and has pharmaceutical and food applications; South Africa-based Sappi touts the product as a sustainable alternative to other fibers.</t>
  </si>
  <si>
    <t>https://www.duluthnewstribune.com/business/4609457-25-million-investment-cloquet-sappi-mill</t>
  </si>
  <si>
    <t>Duluth News Tribune</t>
  </si>
  <si>
    <t>2201 Ave B</t>
  </si>
  <si>
    <t>Sappi Limited</t>
  </si>
  <si>
    <t>Johannesburg</t>
  </si>
  <si>
    <t>South Africa</t>
  </si>
  <si>
    <t>Sierra Pacific Mortgage</t>
  </si>
  <si>
    <t>Sierra Pacific Mortgage Company, Inc., is excited to announce the company's expansion into Minnesota including three new locations in Blaine, Woodbury, and Rochester. Under the direction of Regional Manager, Mike Cass, these three new locations boast ten mortgage professionals who are ready to help Minnesotans across the state achieve the dream of homeownership.</t>
  </si>
  <si>
    <t>https://finance.yahoo.com/news/sierra-pacific-mortgage-expands-minnesota-090000033.html</t>
  </si>
  <si>
    <t>Folsom</t>
  </si>
  <si>
    <t>Certified Power</t>
  </si>
  <si>
    <t>Certified Power Inc's Project HG is relocating CPI's headquarters from Mundelein, Illinois, as well as combining CPI's existing facilities in Burnsville and Brooklyn Park, into a single location at the Stacks II in Fridley.  CPI signed a lease for 55,000 square feet in Northern Stacks II on a seven-year term. While none of CPI's existing 72 Minnesota jobs are considered 'at risk' as a result of this relocation, the project would create at least 36 new jobs in the first 4 years and invest $2.25 million in MN. Award $100K MIF</t>
  </si>
  <si>
    <t xml:space="preserve">https://springbrooknaturecenter.org/AgendaCenter/ViewFile/Agenda/_05132019-311 </t>
  </si>
  <si>
    <t>12117 Riverwood Dr</t>
  </si>
  <si>
    <t>Mundelein</t>
  </si>
  <si>
    <t>Granite Digital Realty</t>
  </si>
  <si>
    <t>International Falls</t>
  </si>
  <si>
    <t>Granite Digital Realty has been working for nearly a decade on plans to build a world-class data center in International Falls. That vision is now within reach, thanks to improved local technology infrastructure and the new opportunity zone federal tax incentive. Mershon's group plans to build a $150 million, 20-megawatt data center in two phases at 409 14th St. W., a former Army Reserve Center owned by Koochiching County. Granite Digital hopes to break ground by end 2019. Would employ 35 FT.</t>
  </si>
  <si>
    <t xml:space="preserve">https://finance-commerce.com/2019/05/icy-city-could-be-data-center-hot-spot/ </t>
  </si>
  <si>
    <t>409 14th St</t>
  </si>
  <si>
    <t>DailyPay</t>
  </si>
  <si>
    <t>A New York financial-technology startup is planning to open a Minneapolis office with 100 employees sometime this summer. Founded in 2015, DailyPay Inc. gives users instant access to earned wages and the option for pay advances, on which the company charges a transaction fee. It has raised about $23 million in venture capital. The 100 employees will support the company's payment-services and customer-support teams.</t>
  </si>
  <si>
    <t>https://www.bizjournals.com/twincities/news/2019/05/09/new-york-fin-techstartup-to-open-minneapolis.html</t>
  </si>
  <si>
    <t>All Energy Solar Inc</t>
  </si>
  <si>
    <t>St. Paul-based All Energy Solar, the designer and installer of solar-power systems for homes and businesses in six states, has moved to a larger 30,000 square foot location in St. Paul's Energy Park industrial-commercial area that is three times its previous space a couple miles away. The 135-employee firm has added 20 workers this year, with plans for up to 20 more. Allen said he expects to install systems on 1,000 buildings this year, up from 700 last year.</t>
  </si>
  <si>
    <t>http://www.startribune.com/all-energy-solar-expands-in-st-paul/509876052/</t>
  </si>
  <si>
    <t>1264 Energy Lane</t>
  </si>
  <si>
    <t>Upsher-Smith Laboratories Inc</t>
  </si>
  <si>
    <t>Generic drugmaker Upsher-Smith plans Maple Grove expansion. The company wants to add a four-level, 298,000-square-foot building just east of its main office, which is off Interstate 494 at 6701 Evenstad Drive. Maple Grove planning manager Peter Vickerman said Upsher-Smith would like to break ground in the third quarter. The city was not aware of how many additional jobs the expansion might bring.</t>
  </si>
  <si>
    <t>https://www.bizjournals.com/twincities/news/2019/05/13/generic-drugmaker-upsher-smith-plans-maple-grove.html</t>
  </si>
  <si>
    <t>6701 Evenstad Dr</t>
  </si>
  <si>
    <t>Sawai Pharmaceutical Co</t>
  </si>
  <si>
    <t>Technology startup ClickSwitch Holdings Inc. has closed on a $13 million financing round, the Minneapolis company said Monday. The company will use the latest funding to ramp up hiring and to support operations with new financial partners. Currently it has 45 employees and plans to grow to 60 employees by the end of the year and hire a chief operating officer and chief revenue officer. 9/2019: Moved its downtown Minneapolis headquarters  to 701 North Washington Avenue.</t>
  </si>
  <si>
    <t>https://www.bizjournals.com/twincities/news/2019/05/14/minneapolis-fin-tech-firm-clickswitch-snaps-up-13m.html</t>
  </si>
  <si>
    <t>MinMor Industries</t>
  </si>
  <si>
    <t>MinMor Industries is a printing and packaging manufacturer and distributer that has been in operation for 30 years. The project consists of renovations to the existing facility. The total project cost is $579,000. The company expects to create 45 jobs within three years with an average wage of $15.09 an hour. Job Creation Fund Award: $175K</t>
  </si>
  <si>
    <t>https://mn.gov/deed/newscenter/press-releases/?id=384613</t>
  </si>
  <si>
    <t>6010 Earle Brown Dr</t>
  </si>
  <si>
    <t>Reprocessed Plastics Inc</t>
  </si>
  <si>
    <t>Garfield</t>
  </si>
  <si>
    <t>Reprocessed Plastics has been recycling waste into industrial products since 1991. The project will add a 13,000 square foot addition to allow for growth. The total project cost is expected to be $638,441. The company expects to create 20 jobs within the next three years. Job Creation Fund Award $175K</t>
  </si>
  <si>
    <t>8301 County Hwy 82</t>
  </si>
  <si>
    <t>Lockton Companies</t>
  </si>
  <si>
    <t>Lindsey Harlan, vice president of Lockton in Golden Valley discussed the company's recent growth in the Twin Cities, its plans for future expansion in the area and the challenges of competing for talent in such a hot market for insurance firms. Between the two offices, we've doubled our number of employees since 2015. Just last year we added 20 new associates, and we're scheduled to grow another 20 over the next year.</t>
  </si>
  <si>
    <t>Insurance</t>
  </si>
  <si>
    <t>https://www.bizjournals.com/twincities/news/2019/05/17/insurance-brokerage-eyes-growth-in-twin-cities.html</t>
  </si>
  <si>
    <t>5500 Wayzata Blvd Ste 510</t>
  </si>
  <si>
    <t>VentureMed Group</t>
  </si>
  <si>
    <t>Toledo, Ohio-based  VentureMed Group Inc., a company that develops medical devices to treat vascular problems, will move its offices to Plymouth, Minn., this year.  The company in 2017 raised a $15 million Series B round. It's in the process of raising its next financing round to fund business expansion. VentureMed's 6,000-square-foot Plymouth office will be located at 2800 Campus Drive and have 20 to 25 employees. Expects to complete its relocation over the next three months.</t>
  </si>
  <si>
    <t>https://www.bizjournals.com/twincities/news/2019/05/17/ohio-med-tech-startup-led-by-former-nxthera-ceo-to.html</t>
  </si>
  <si>
    <t>2800 Campus Drive</t>
  </si>
  <si>
    <t>Donaldson, the filtration systems manufacturer today announced the groundbreaking on a $15 million research center at its global headquarters in Bloomington. The 17,000-square foot Materials Research Center is scheduled to open in 2019. In a statement Donaldson (NYSE: DSCI) positioned the expansion as a way to 'attract the technical talent' required to develop innovative filtration technologies and bring them to market. The company plans to add six researchers &amp; engineers to the 1,100+ staff</t>
  </si>
  <si>
    <t>https://www.bizjournals.com/twincities/news/2019/05/20/donaldson-building-15-million-research-center-in.html</t>
  </si>
  <si>
    <t>Park Nicollet Health Services has broken ground on a 28,000-square-foot clinic in Lakeville that will provide more health care services than its current facility in the Twin Cities suburb. The $13.5 million project is going up at 18484 Kachina Court. The new clinic will offer additional urgent care, OB-GYN and eye care services as well as extended morning, evening and weekend hours. The new clinic will be more than five times larger than its current facility. Will add 30 new employees.</t>
  </si>
  <si>
    <t>https://www.bizjournals.com/twincities/news/2019/05/20/park-nicollet-begins-construction-of-13-5-million.html</t>
  </si>
  <si>
    <t>18432 Kendrick Ave</t>
  </si>
  <si>
    <t>Ziegler Caterpillar</t>
  </si>
  <si>
    <t>Construction is complete on a 59,800-square-foot dealership for Ziegler Cat’s agriculture and construction equipment. The new building replaces a rented sales and parts facility in Willmar. The larger space will provide CAT the square footage to expand its equipment sales, rental and repair services. The two-story service facility features a retail showroom, a 25,000-square-foot shop, warehouse and offices, and a 7,800-square-foot cold storage building.</t>
  </si>
  <si>
    <t>WH, OF, RET</t>
  </si>
  <si>
    <t>https://www.wctrib.com/business/announcements/6566017-Ziegler-Cats-new-dealership-building-now-complete-in-Willmar</t>
  </si>
  <si>
    <t>West Central Tribune</t>
  </si>
  <si>
    <t>4600 Hwy 71 S</t>
  </si>
  <si>
    <t>Control Concepts</t>
  </si>
  <si>
    <t>A Chanhassen manufacturer hopes to break ground this year in the last open lot in the city's Arboretum Business Park. Control Concepts employs about 40 people at its current HQ at 18760 Lake Drive E. The new building, proposed at 8077 Century Blvd., would be large enough in theory for up to 100 workers, president and owner Cory Watkins said. Building would be 54,200+ square feet, with office, manufacturing and warehouse space. Hope to break ground in August 2019, relocate in spring 2020.</t>
  </si>
  <si>
    <t>https://finance-commerce.com/2019/05/control-concepts-plans-to-expand-in-chanhassen</t>
  </si>
  <si>
    <t>18760 Lake Dr E</t>
  </si>
  <si>
    <t>Renewal by Andersen</t>
  </si>
  <si>
    <t>Window manufacturer Andersen Corp. plans to double the size of Renewal by Andersen manufacturing facility in Cottage Grove, with room left over for future expansion. The Cottage Grove Planning Commission on Wednesday recommended approval of the company's plans for a new 350,000-square-foot warehouse, manufacturing and office building in the Glengrove Industrial Park. Andersen is planning to bring 125 new jobs to the area with the expansion. Received JCF $800K, MIF $450K</t>
  </si>
  <si>
    <t>Office (Non-HQ); Manufacturing; Warehouse</t>
  </si>
  <si>
    <t>https://www.bizjournals.com/twincities/news/2019/05/30/andersen-corp-plans-to-double-its-footprint-in.html</t>
  </si>
  <si>
    <t>JCF, MIF</t>
  </si>
  <si>
    <t>Heraeus Medical Components</t>
  </si>
  <si>
    <t>Medical device maker Heraeus Medical Components will move into the Northern Stacks seven building, 122-acre business park at 4800 E. River Road in Fridley in the fall. Germany-based Heraeus signed a 10-year lease for 62,000 square feet of space in the Northern Stacks V. Heraeus, which already has a Minnesota location in White Bear Lake, will use its space at Northern Stacks as a research and development facility, Hyde said. The company will move in Oct. 1.</t>
  </si>
  <si>
    <t>https://finance-commerce.com/2019/05/northern-stacks-fills-its-biggest-vacancies/</t>
  </si>
  <si>
    <t>4800 E River Road</t>
  </si>
  <si>
    <t>Hanau</t>
  </si>
  <si>
    <t>Hessen</t>
  </si>
  <si>
    <t>Mayo Manufacturing</t>
  </si>
  <si>
    <t>East Grand Forks</t>
  </si>
  <si>
    <t>Polk</t>
  </si>
  <si>
    <t>Delisle Properties, property owner, is seeking a loan to facilitate the expansion of Mayo Manufacturing, a primary business that manufactures potato processing equipment. Mayo, is seeking to expand its existing business by adding 8,400 square feet of industrial space at a cost of approximately $650,000 to meet growing demand. The expansion will add five employees making $17-30 per hour as starting wages. Applying for $150K from DEED's MIF and $150K revolving loan from East Grand Forks.</t>
  </si>
  <si>
    <t>http://www.egf.mn/ArchiveCenter/ViewFile/Item/4798</t>
  </si>
  <si>
    <t>Business Hwy 2</t>
  </si>
  <si>
    <t>MIF, Local loan</t>
  </si>
  <si>
    <t>Harriston Industries</t>
  </si>
  <si>
    <t>Minto</t>
  </si>
  <si>
    <t>Minneapolis-based Agosto Holdings, a cloud-services and development company, has secured $6.5 million in capital from California-based Bridge Bank and SG Credit Partners. The capital will allow Agosto to advance its strategy within the Google system, add personnel to sales and marketing, and promote Skykit ' the first digital signage content-management system built on the Google Cloud Platform. Agosto, with 63 employees, said it is one of the largest Google-cloud partners globally.</t>
  </si>
  <si>
    <t>http://www.startribune.com/agosto-raises-expansion-capital/510665152/</t>
  </si>
  <si>
    <t>Optum</t>
  </si>
  <si>
    <t>UnitedHealth Group's Optum health services division is getting a new HQ that merges three businesses under a single roof to better coordinate business operations and improve marketing.</t>
  </si>
  <si>
    <t>http://www.startribune.com/optum-finds-a-big-new-home-in-eden-prairie/123142228/</t>
  </si>
  <si>
    <t>9900 Bren Rd E</t>
  </si>
  <si>
    <t>Saul Ewing Arnstein &amp; Lehr</t>
  </si>
  <si>
    <t>Philadelphia-based Saul Ewing opened its Minneapolis office in February and started fast, hiring a team of lawyers away from Gray Plant Mooty along with clients that included the Minnesota Vikings. The newcomers are often expanding from big East and West Coast cities where demand for legal-services is saturated and new expansion cities offer less competition.</t>
  </si>
  <si>
    <t>https://www.bizjournals.com/twincities/news/2019/06/06/out-of-state-law-firms-move-in-and-grab-more-than.html</t>
  </si>
  <si>
    <t>33 South Sixth St Ste 4750</t>
  </si>
  <si>
    <t>Philadelphia</t>
  </si>
  <si>
    <t>Geotek Inc., which designs, manufactures and sells fiberglass components for the electric utility and animal containment markets, is planning for the next phase of its expansion and renovation of its facility. Currently underway, the first phase of expansion will add 10,000 SF. The next phase will add another 65,000 SF. City is offering TIF, tied to 18 new jobs. Geotek is adding 12 jobs not connected to TIF. Received $150K from MIF in July.</t>
  </si>
  <si>
    <t>https://www.postbulletin.com/news/business/geotek-stewartville-get-ball-rolling-on-major-expansion/article_f8676392-8b83-11e9-b165-efc0d2c828a8.html</t>
  </si>
  <si>
    <t>Rochester Post-Bulletin</t>
  </si>
  <si>
    <t>MIF, TIF</t>
  </si>
  <si>
    <t>Midwest Ear Nose &amp; Throat</t>
  </si>
  <si>
    <t>Midwest Ear, Nose and Throat Specialists plan to anchor a new medical-office building being pitched by Davis in Woodbury, Davis CEO Mark Davis told the Business Journal Monday. Midwest ENT, which currently leases space northeast of Lake Road and west of Woodwinds Drive in Woodbury, would lease the entire 14,000-square-foot building Davis is pitching as the third phase of its CityPlace development.</t>
  </si>
  <si>
    <t>https://www.bizjournals.com/twincities/news/2019/06/17/shriners-midwest-ent-plot-new-medical-centers-in.html</t>
  </si>
  <si>
    <t>Shriners Healthcare for Children</t>
  </si>
  <si>
    <t>Shriners Healthcare for Children-Twin Cities plans to anchor a new medical-office building being pitched by Davis in Woodbury, Davis CEO Mark Davis told the Business Journal Monday. Shriners Healthcare for Children-Twin Cities would lease 20,000 square feet of a proposed 42,000-square-foot building south of Interstate 94 and east of Radio Drive.</t>
  </si>
  <si>
    <t>Shriners Hospitals</t>
  </si>
  <si>
    <t>Arctic Wolf Networks</t>
  </si>
  <si>
    <t>California-based technology firm Arctic Wolf has quadrupled its office space in Eden Prairie. Arctic Wolf houses its sales, marketing and customer success operations in Eden Prairie. The company, which offers IT security services, had been renting a 5,250-square-foot office space in the suburb. Last week, the firm moved into a new 21,800-square-foot space. The new location will enable the company to house up to 200 employees; the old spot had room for just 55.</t>
  </si>
  <si>
    <t>http://tcbmag.com/news/articles/2019/june/california-based-arctic-wolf-quadruples-eden-prair</t>
  </si>
  <si>
    <t>8939 Columbine Road</t>
  </si>
  <si>
    <t>Sunnyvale</t>
  </si>
  <si>
    <t>Wipro Technologies</t>
  </si>
  <si>
    <t>Bangalore, India-based Wipro has opened a new office at the edge of downtown Minneapolis that the tech consultancy said would grow to 100 employees over the next two years. The Minneapolis office will serve as a technology hub for the company. It decided to open the office because of the city's "conducive business environment, excellent infrastructure and ready talent pool."</t>
  </si>
  <si>
    <t>https://www.bizjournals.com/twincities/news/2019/06/19/tech-consultancy-wipro-to-hire-100-at-new.html</t>
  </si>
  <si>
    <t>111 Washington Ave S</t>
  </si>
  <si>
    <t>Wipro Limited</t>
  </si>
  <si>
    <t>Bangalore</t>
  </si>
  <si>
    <t>KA</t>
  </si>
  <si>
    <t>India</t>
  </si>
  <si>
    <t>Toppan Merrill</t>
  </si>
  <si>
    <t>Sartell</t>
  </si>
  <si>
    <t>Toppan Merrill plans to grow in Central Minnesota with a 70,000-square-foot expansion (13,500 SF office space and 56,375 SF warehouse &amp; prodn space) to its current 100,000 SF Sartell facility. Sartell City Council approved a business subsidy to assist the company in its expansion at 300-11th Ave. E. The company sold its St. Cloud facility after struggling with building layout and size. All employees from the St. Cloud facility at 4110 Clearwater Road will relocate to the Sartell.</t>
  </si>
  <si>
    <t>https://www.sctimes.com/story/news/2019/06/25/toppan-merrill-expands-sartell-expected-new-jobs-complete-2020/1558535001/</t>
  </si>
  <si>
    <t>300 11th Ave E</t>
  </si>
  <si>
    <t>MIF $320K, JCF $350K</t>
  </si>
  <si>
    <t>Toppan Leefung</t>
  </si>
  <si>
    <t>2019-Q3</t>
  </si>
  <si>
    <t>Reprise Biomedical</t>
  </si>
  <si>
    <t>Miromatrix Medical Inc.'s two FDA-approved products (Miroderm and Miromesh), which help manage wounds and reinforce soft tissue, will be managed and sold by a new spin-off company called Reprise Biomedical Inc. Miromatrix owns a significant stake in Reprise. Reprise has 13 employees, seven of whom are transplants from Miromatrix. Powers expects to have 15 to 20 employees by the end of the year.</t>
  </si>
  <si>
    <t>https://www.bizjournals.com/twincities/news/2019/07/02/new-miromatrix-spinoff-raises-12-5-million-to-ramp.html</t>
  </si>
  <si>
    <t>Soona</t>
  </si>
  <si>
    <t>The Minneapolis shop started this May, a month after starting a sister studio in Denver. The 2,000-square-foot Soona location in northeast Minneapolis can be staged to look like a living room, a kitchen or any other space. A year ago, the women began to brainstorm ways to make photo and video production as easy as visiting a printing office to make copies. Technology at Soona allows them to shoot, edit and deliver content to clients. Raised $1.2 million in seed funding.</t>
  </si>
  <si>
    <t>Motion Picture, Sound Recording</t>
  </si>
  <si>
    <t>http://www.startribune.com/minneapolis-based-soona-creates-digital-content-asap/512191362/</t>
  </si>
  <si>
    <t>rms Company</t>
  </si>
  <si>
    <t>RMS plans to break ground as soon this fall on an addition to its manufacturing plant in the Minneapolis suburb, its fifth major expansion there in the past two decades. The company previously expanded at the site in 2016, 2011, 2006 and 1998. RMS currently employs 711 people in Coon Rapids and is the city's biggest private-sector employer. The project would add 60,000 square feet of space to its existing 215,000-square-foot building. Awarded $800,000 JCF from DEED.</t>
  </si>
  <si>
    <t>https://finance-commerce.com/2019/07/coon-rapids-manufacturer-to-expand-again</t>
  </si>
  <si>
    <t>8600 Evergreen Blvd</t>
  </si>
  <si>
    <t>Cretex Companies Inc</t>
  </si>
  <si>
    <t>Beck's Hybrids</t>
  </si>
  <si>
    <t>Olivia</t>
  </si>
  <si>
    <t>Renville</t>
  </si>
  <si>
    <t>Beck's is pleased to announce the purchase of a facility in Olivia, Minn., for the use of distribution and research. The 44,000 square-foot facility will provide corn breeding and research, sales support, and warehousing. The team in Olivia consists of five full-time employees with plans to add 2 more team members in 2021, and up to 30 part-time employees for seasonal research activities.Beck's has a unique partnership with RAGT, a French seed company.</t>
  </si>
  <si>
    <t>Research &amp; Dev; Warehouse; Distribution Center</t>
  </si>
  <si>
    <t>https://finance.yahoo.com/news/beck-establishes-roots-minnesota-expanded-154247539.html</t>
  </si>
  <si>
    <t>1005 West Elm Ave</t>
  </si>
  <si>
    <t>Atlanta</t>
  </si>
  <si>
    <t>Costco</t>
  </si>
  <si>
    <t>Owatonna</t>
  </si>
  <si>
    <t>Discount retailer Costco could start construction of a new distribution center in Owatonna this fall, a center that would likely be the largest new construction industrial building ever proposed for the southern Minnesota city. Costco is planning to build a 354,000-square-foot distribution warehouse. the finished distribution center will have a value of about $34 million, and will create about 125 full-time jobs and 75 part-time jobs. 9/19 article: $13m in TIF. plus $2m by Costco on road construction</t>
  </si>
  <si>
    <t>https://finance-commerce.com/2019/07/costco-plans-distribution-center-in-owatonna/</t>
  </si>
  <si>
    <t>Issaquah</t>
  </si>
  <si>
    <t>Doosan Bobcat, the construction giant, chose Minneapolis for its global collaboration center because of easy accessibility. Doosan Bobcat will open a new collaboration center in downtown Minneapolis' Fifth Street Towers this fall as part of its new global organizational structure. The 10,600-square-foot office will help the South Korean-based construction equipment giant host more global meetings and accelerate innovation.</t>
  </si>
  <si>
    <t>http://www.startribune.com/doosan-bobcat-will-open-global-office-in-downtown-minneapolis/512587322/</t>
  </si>
  <si>
    <t>IA Interior Architects</t>
  </si>
  <si>
    <t>A global architecture firm is opening a Minneapolis office at 60 Sixth St S to help property owners reimagine, as Managing Director Cassandra Griep puts it, 'anything that's within the four walls.' she hopes to have up to 10 people by the end of the year, with a final headcount of between 15 to 30. IA Interior Architects specializes in interior architecture and workplace design. The company has worked on projects ranging from open offices for video game developers to luxury airport lounges.</t>
  </si>
  <si>
    <t>https://finance-commerce.com/2019/07/design-firm-ia-interior-architects-opens-local-branch/</t>
  </si>
  <si>
    <t>Los Angeles</t>
  </si>
  <si>
    <t>LazyDays RV</t>
  </si>
  <si>
    <t>Earlier this week, Lazydays RV opened a new state-of-the-art service facility in Anoka County. It is the Tampa-based recreational vehicles manufacturer's 5th dealership nationwide, and its 1st in the Upper Midwest. The new facility includes 28 service bays and four body and collision bays with a 60-ft paint booth. 'We are very excited to introduce the Lazydays brand and its exceptional customer experience and expertise to the Minneapolis market,' said Lazydays VP of service Victor Doran.</t>
  </si>
  <si>
    <t>http://tcbmag.com/news/articles/2019/july/florida-rv-company-lazydays-opens-first-midwest-facility-in-anoka-county</t>
  </si>
  <si>
    <t>8390 Highway 10 NW</t>
  </si>
  <si>
    <t>Tampa</t>
  </si>
  <si>
    <t>Puris Proteins</t>
  </si>
  <si>
    <t>Dawson</t>
  </si>
  <si>
    <t>Lac Qui Parle</t>
  </si>
  <si>
    <t>Puris Proteins, LLC may expand in Lac qui Parle County, Minnesota. The company is a manufacturer of a spectrum of non-GMO, plant-based ingredients made from soy, pulses, lentils, and corn. The proposed project would consist of converting a shuttered dairy protein plant into a plant-based processing facility. The total project cost is $89,840,828. Received JCF award $1.86 million JCF, $1 million MIF.</t>
  </si>
  <si>
    <t>https://mn.gov/deed/ed/about-us/news-events/press-releases/ed-press-releases.jsp?id=1045-404298</t>
  </si>
  <si>
    <t>Puris Proteins LLC</t>
  </si>
  <si>
    <t>RSM US LLP</t>
  </si>
  <si>
    <t>Chicago-based RSM US LLP renewed its lease at RSM Plaza in downtown Minneapolis. The lease will run for 12 years. RSM occupies more than 115,000 square feet in the plaza, making it the biggest tenant in the building located at 801 Nicollet Mall. In a news release, RSM added that it plans to 'fully renovate the space to empower a modern workforce.' The new renovations are slated to wrap up in 2020.</t>
  </si>
  <si>
    <t>http://tcbmag.com/news/articles/2019/july/rsm-renews-lease-in-namesake-skyscraper</t>
  </si>
  <si>
    <t>801 Nicollet Ave Ste 1100</t>
  </si>
  <si>
    <t>RSM International</t>
  </si>
  <si>
    <t>The Fish Guys is a St. Louis Park-based wholesale distributor. In May the Fish Guys bought a 16,000-square-foot meat-processing plant for $710,000, at 1595 57th St. in Northfield, and invested more than $1 million in additional funds to renovate and add equipment to the facility. Will add 15 to 20 new positions between its Northfield and St. Louis Park locations. St. Louis Park’s 40,000-square-foot facility will remain the company’s distribution center.</t>
  </si>
  <si>
    <t>Manufacturing; Warehouse</t>
  </si>
  <si>
    <t>http://www.startribune.com/twin-cities-fish-distributor-opens-a-plant-to-process-meat-in-northfield/512896792/</t>
  </si>
  <si>
    <t>1595 57th St</t>
  </si>
  <si>
    <t>VStar Entertainment Group</t>
  </si>
  <si>
    <t>Eric Grilly, CEO of Fridley-based VStar Entertainment Group, is working to expand the performance portfolio of parent company Cirque du Soleil Entertainment Group as executive head of studio alliances for the Montreal-based global live-entertainment brand. With two new shows this year, VStar's workforce of 300 could increase 20% this year, Grilly said.</t>
  </si>
  <si>
    <t>http://www.startribune.com/vstar-ceo-seeks-new-live-entertainment-opportunities-for-parent-cirque-du-soleil/513269662/</t>
  </si>
  <si>
    <t>44 Northern Stacks Dr Ste 200</t>
  </si>
  <si>
    <t>Cirque du Soleil</t>
  </si>
  <si>
    <t>Quebec</t>
  </si>
  <si>
    <t>Green Bay Packaging</t>
  </si>
  <si>
    <t>Green Bay Packaging, which produces corrugated cardboard shipping containers and displays, is constructing more than 100,000 SF of additional space at its facility on 87th Lane NW. The new additions include: 44,215 SF of warehouse space, more than doubling the existing capacity; 47,770 SF to expand production with additional assembly lines and material staging; 6,490 square feet for new restrooms, training room, larger break room.  Expects to add about 20 jobs in Coon Rapids upon completion of project.</t>
  </si>
  <si>
    <t>https://coonrapidsciviccenter.com/CivicAlerts.aspx?AID=1903</t>
  </si>
  <si>
    <t>555 87th Lane NW</t>
  </si>
  <si>
    <t>Green Bay</t>
  </si>
  <si>
    <t>Boston Scientific</t>
  </si>
  <si>
    <t>Boston Scientific Corp plans to build a 107,000-square-foot addition to its Maple Grove campus in a project that would allow the medical-device manufacturer to hire an additional 40 employees, according to city staff. The Massachusetts-based company has a three-building campus near Weaver Lake Road and Interstate 94 that employs 4,000 people. The two-story addition on Building 2 increases production capacity, and adds a new 9,300 SF cafeteria and 41,000 SF of office space</t>
  </si>
  <si>
    <t>Office (Non-HQ); Manufacturing; Research &amp; Dev</t>
  </si>
  <si>
    <t>https://www.bizjournals.com/twincities/news/2019/07/30/boston-scientific-plans-expansion-to-maple-grove.html</t>
  </si>
  <si>
    <t>One Scimed Place</t>
  </si>
  <si>
    <t>Marlborough</t>
  </si>
  <si>
    <t>MA</t>
  </si>
  <si>
    <t>Nahan Printing Inc</t>
  </si>
  <si>
    <t>St. Cloud commercial printing company Nahan Printing has partnered with St. Cloud State University to help new and current employees sharpen their technical skills. SCSU helped create training materials specifically for Nahan staff. Nahan Printing cut the ribbon on its new, grant-funded training center, Nahan University, on July 17. The Nahan University training lab currently operates in a remodeled area of the manufacturing center. Received a MJSP Grant.</t>
  </si>
  <si>
    <t>https://wjon.com/nahan-printing-opens-employee-training-center/</t>
  </si>
  <si>
    <t>7000 Saukview Dr</t>
  </si>
  <si>
    <t>MJSP</t>
  </si>
  <si>
    <t>Alarm com</t>
  </si>
  <si>
    <t>2019 Best Places to Work First-time honoree Alarm.com has a number of tangible benefits it offers employees. How many jobs do you have open, and where do you post your job openings' We currently have 82 job openings companywide for positions such as customer support, software engineering, product management, sales and more.</t>
  </si>
  <si>
    <t>https://www.bizjournals.com/twincities/news/2019/08/02/best-places-to-work-2019-alarm-com.html</t>
  </si>
  <si>
    <t>7900 Xerxes Ave S</t>
  </si>
  <si>
    <t>Vienna</t>
  </si>
  <si>
    <t>2019 Best Places to Work First-time Best Places to Work honoree Ascentis offers a number of programs that contribute to its award-winning workplace. How many jobs do you have open, and where do you post your job openings' As of June 10, we have 18 positions open, which tends to be the average amount of jobs open at any given time throughout the year. </t>
  </si>
  <si>
    <t>https://www.bizjournals.com/twincities/news/2019/08/02/best-places-to-work-2019-ascentis-corp.html</t>
  </si>
  <si>
    <t>Foodsby</t>
  </si>
  <si>
    <t>Foodsby raised about $19.4 million in Series A and B funding rounds, and used the capital to expand into new markets and increase its sales, marketing and development teams. It plans to increase its restaurant and building partners from 18 to 30 by year's end. The company has 150 employees, and plans to expand to nearly 200.  Relocated from Northeast Minneapolis (where it had 7,000 square feet on Broadway Street) to downtown Minneapolis in 34,000 square feet of renovated space.</t>
  </si>
  <si>
    <t>http://www.startribune.com/foodsby-zeros-in-on-office-lunch-deliveries-carving-niche-amid-a-boom/514311862/</t>
  </si>
  <si>
    <t>3001 Broadway St NE</t>
  </si>
  <si>
    <t>FRSecure LLC</t>
  </si>
  <si>
    <t>2019 Best Places to Work FRSecure is a full-service information security management company and a first-time Best Places to Work honoree. How many jobs do you have open, and where do you post your job openings: Six job postings for nine open positions</t>
  </si>
  <si>
    <t>https://www.bizjournals.com/twincities/news/2019/08/02/best-places-to-work-2019-frsecure.html</t>
  </si>
  <si>
    <t>5909 Baker Rd Ste 500</t>
  </si>
  <si>
    <t>2019 Best Places to Work Gillette Children's Specialty Healthcare is a five-time Best Places to Work honoree due to areas such as an emphasis on professional development, with various courses and training opportunities for staff, and regular participation in surveys to ensure competitive pay in relation to the market. How many jobs do you have open, and where do you post your job openings: We have approximately 45 positions open, including patient care and nonpatient care positions.</t>
  </si>
  <si>
    <t>https://www.bizjournals.com/twincities/news/2019/08/02/best-places-to-work-2019-gillette-childrens.html</t>
  </si>
  <si>
    <t>2019 Best Places to Work How many jobs do you have open,…: 29.</t>
  </si>
  <si>
    <t>https://www.bizjournals.com/twincities/news/2019/08/02/best-places-to-work-2019-loffler-cos-inc.html</t>
  </si>
  <si>
    <t>Marco Technologies</t>
  </si>
  <si>
    <t>2019 Best Places to Work Marco Technologies is a repeat Best Places to Work honoree, in part due to its continued focus on seeking ways to improve upon its already award-winning environment. How many jobs do you have open: 96 current openings</t>
  </si>
  <si>
    <t>https://www.bizjournals.com/twincities/news/2019/08/02/best-places-to-work-2019-marco-technologies.html</t>
  </si>
  <si>
    <t>PULTE HOME CORPORATION</t>
  </si>
  <si>
    <t>2019 Best Places to Work Homebuilder PulteGroup Inc. ' Minnesota is a two-time Best Places to Work honoree and continues looking for ways to improve its work environment for employees. How many jobs do you have open, and where do you post your job openings: Currently, we have four openings within our division.</t>
  </si>
  <si>
    <t>https://www.bizjournals.com/twincities/news/2019/08/02/best-places-to-work-2019-pultegroup-inc-minnesota.html</t>
  </si>
  <si>
    <t>7500 Office Ridge Cir #325</t>
  </si>
  <si>
    <t>GA</t>
  </si>
  <si>
    <t>RBC Wealth Management</t>
  </si>
  <si>
    <t>2019 Best Places to Work First-time Best Places to Work honoree RBC Wealth Management-U.S. offers benefits designed with traditional and modern families in mind. How many jobs do you have open...' As of June 10, there are 108 open positions nationwide ' 51 in Minnesota.</t>
  </si>
  <si>
    <t>https://www.bizjournals.com/twincities/news/2019/08/02/best-places-to-work-2019-rbc-wealth-management-u-s.html</t>
  </si>
  <si>
    <t>60 S Sixth St</t>
  </si>
  <si>
    <t>Royal Bank of Canada</t>
  </si>
  <si>
    <t>Toronto</t>
  </si>
  <si>
    <t>Revel Health</t>
  </si>
  <si>
    <t>2019 Best Places to Work Revel Health team members are driven by the health care tech company's mission and values: 'Make the world a healthier place using innovative technology, fanatical teamwork and brilliant creativity.' First-time Best Places to Work honoree. How many jobs do you have open, and where do you post your job openings: Six current openings.</t>
  </si>
  <si>
    <t>https://www.bizjournals.com/twincities/news/2019/08/02/best-places-to-work-2019-revel-health.html</t>
  </si>
  <si>
    <t>123 N 3rd St Ste 605</t>
  </si>
  <si>
    <t>RHI Consulting Division of Robert Half</t>
  </si>
  <si>
    <t>Staffing firm Robert Half International Inc. is ramping up its own hiring in its Minneapolis office, and to help attract and retain team members it offers a number of attractive benefits, including workplace flexibility and a generous paid time off policy. Since this is the hottest job market we've seen in years, we are also hiring internally for roughly 30 roles, most of which involve matching today's top talent with our clients throughout the area</t>
  </si>
  <si>
    <t>https://www.bizjournals.com/twincities/news/2019/08/02/best-places-to-work-2019-robert-half-international.html</t>
  </si>
  <si>
    <t>800 Nicollet Mall #2700</t>
  </si>
  <si>
    <t>2019 Best Places to Work This year marks SportsEngine's second Best Places to Work recognition. The company, which develops software for youth and amateur sports organizations, offers a hefty paid parental leave policy and 401(k) match to team members. How many jobs do you have open: 15 openings</t>
  </si>
  <si>
    <t>https://www.bizjournals.com/twincities/news/2019/08/02/best-places-to-work-2019-sportsengine.html</t>
  </si>
  <si>
    <t>2019 Best Places to Work Stoneridge Software Inc. is a five-time Best Places to Work honoree thanks in part to its relaxed office atmosphere, with beer and snacks; a dress-for-your-day dress code; quarterly themed potlucks; and a robust benefits package. The IT consulting firm also has a high-frequency approach in sharing feedback with employees. How many jobs do you have open, and where do you post your job openings: Currently, Stoneridge has 18 job openings.</t>
  </si>
  <si>
    <t>https://www.bizjournals.com/twincities/news/2019/08/02/best-places-to-work-2019-stoneridge-software-inc.html</t>
  </si>
  <si>
    <t>6465 Wayzata Blvd Ste 775</t>
  </si>
  <si>
    <t>TPI Hospitality</t>
  </si>
  <si>
    <t>2019 Best Places to Work How many jobs do you have open...' We have approximately 40 positions currently open, and post many of our available positions internally. As the nation's largest 100 percent employee-owned hospitality company, TPI Hospitality provides a no-cost ownership opportunity for our associates to secure financial security for their retirement years.</t>
  </si>
  <si>
    <t>https://www.bizjournals.com/twincities/news/2019/08/02/best-places-to-work-2019-tpi-hospitality.html</t>
  </si>
  <si>
    <t>103 15th Ave NW Ste 200</t>
  </si>
  <si>
    <t>West Monroe Partners</t>
  </si>
  <si>
    <t>2019 Best Places to Work Besides providing many of the typical benefits of a Best Places to Work, three-time honoree West Monroe Partners is on a mission to build the next generation of leaders at its consulting firm, and it aims to do that by creating an inclusive and diverse team. How many jobs do you have open, and where do you post your job openings: We currently have 10 open positions in our Minneapolis office and dozens of open positions across the country.</t>
  </si>
  <si>
    <t>https://www.bizjournals.com/twincities/news/2019/08/02/best-places-to-work-2019-west-monroe-partners.html</t>
  </si>
  <si>
    <t>York Solutions</t>
  </si>
  <si>
    <t>2019 Best Places to Work First-time Best Places to Work honoree York Solutions puts a premium on professional development for its team members. How many jobs do you have open, and where do you post your job openings: 10 full-time roles open in Minnesota right now.</t>
  </si>
  <si>
    <t>https://www.bizjournals.com/twincities/news/2019/08/02/best-places-to-work-2019-york-solutions.html</t>
  </si>
  <si>
    <t>7100 Northland Circle Ste 202</t>
  </si>
  <si>
    <t>Barrett Petfood Innovations</t>
  </si>
  <si>
    <t>Located in an industrial park, Barrett Petfood Innovations' new facility in Little Falls is expected to create 85 jobs within the next three years, with an average wage of $15.98 per hour. MN DEED is supporting the project with a $450,000 investment from MIF and a $175,000 investment from JCF. the 160,000-square-foot building will house initially one production line and eventually two, starting with a minimum of 40 employees, with a five-year goal of 200 to 300 workers.</t>
  </si>
  <si>
    <t>https://www.brainerddispatch.com/lifestyle/pets/4609004-Barrett-pet-food-company-breaks-ground-for-Little-Falls-facility</t>
  </si>
  <si>
    <t>Brainerd Dispatch</t>
  </si>
  <si>
    <t>American Flexible Products Inc</t>
  </si>
  <si>
    <t>A Chaska maker of gaskets, seals and insulation is looking to nearly double in size. American Flexible Products custom fabricates foam, rubber, plastics and other flexible materials at 124 Peavey Circle. It wants to expand its two-story, 24-foot-high, 30,000-square-foot building to the west with a 25,000-square-foot, two-story addition of warehouse space, a break room and bathrooms, according to city planning documents. two loading docks would be added to the south side of the building.</t>
  </si>
  <si>
    <t>https://www.bizjournals.com/twincities/news/2019/08/14/chaska-manufacturer-looks-to-double-in-size.html</t>
  </si>
  <si>
    <t>124 Peavey Cir</t>
  </si>
  <si>
    <t>Ultra Machining Company</t>
  </si>
  <si>
    <t>Ultra Machining Co. has reached an agreement with the Monticello Economic Development Authority to build a new 40,000 square foot facility (next to its current site). The city is contributing to the expansion by buying the land of the proposed site through tax-increment financing. The project is expected to be a multi-million-dollar undertaking and expects to add 60 new jobs in the first three years of the new facility's operation. Work is expected to begin in late 2019 or early 2020. DEED awards 2/2020: Job Creation Fund $175K, MN Investment Fund $300K</t>
  </si>
  <si>
    <t>http://tcbmag.com/news/articles/2019/august/monticello-manufacturing-company-to-expand</t>
  </si>
  <si>
    <t>500 Chelsea Rd</t>
  </si>
  <si>
    <t>TIF, JCF ($175K), MIF ($300K)</t>
  </si>
  <si>
    <t>CardioMech</t>
  </si>
  <si>
    <t>CardioMech has raised $7.5 million in convertible-note funding in 2019. It plans to start its series A round soon, hoping to raise between $5-$10 million. CardioMech already runs its R&amp;D, manufacturing and quality-control operations out of Fridley and this week incorporated in the state, though it hasn't officially designated the Minnesota site as its headquarters. Has 7 full-time employees and also employs manufacturers and consultants in Fridley. Plan to hire more full-time staff with funding</t>
  </si>
  <si>
    <t>https://www.bizjournals.com/twincities/news/2019/08/22/why-this-norwegian-medtech-company-is-so.html</t>
  </si>
  <si>
    <t>CardioMech AS</t>
  </si>
  <si>
    <t>Oslo</t>
  </si>
  <si>
    <t>Norway</t>
  </si>
  <si>
    <t xml:space="preserve">Distinctive Iron </t>
  </si>
  <si>
    <t>Distinctive Iron currently employs 14 PT and 2 PT with an average hourly wage of $18.80/hr and has outgrown their leased space on Industrial Blvd in Elk River. They intend to relocate to 15970 Jarvis Street NW in Elk River. Will create 5 FT jobs paying avg of $18.80/hr. They are purchasing $35,000 of new equipment. Total project cost is approximate $1.53 million, of which they can provide $116,000 in equity. They are seeking a $100,000 Jobs Incentive Microloan from Elk River. Awarded $42,474 JCF</t>
  </si>
  <si>
    <t>http://web1-elkr.ci.elk-river.mn.us/weblink/1/doc/278736/Page1.aspx</t>
  </si>
  <si>
    <t>15970 Jarvis Street NW</t>
  </si>
  <si>
    <t>SkyWater Technology Foundry is planning a 66,724-square-foot expansion to its Bloomington facility which will support another 30 to 50 jobs.  Update 10/2019: Expansion is backed by $170 million invested by the U.S. Department of Defense to produce electronics hardened to serve in high-radiation environments, including outer space.</t>
  </si>
  <si>
    <t xml:space="preserve">https://www.bizjournals.com/twincities/news/2019/08/28/microelectronics-maker-will-expand-bloomington.html </t>
  </si>
  <si>
    <t>Oxbow Industries</t>
  </si>
  <si>
    <t>Saluda Medical</t>
  </si>
  <si>
    <t>Saluda Medical, an Australian-based medical device manufacturer, is planning to double its workforce at its Bloomington office.
To accommodate this growth, Saluda worked with Sever Construction Co. and architecture firm PlanForce Group to create an open and accommodating office that was also functional.</t>
  </si>
  <si>
    <t>Office</t>
  </si>
  <si>
    <t>https://www.bizjournals.com/twincities/news/2020/07/07/cool-offices-saluda-medical-bloomington-office.html</t>
  </si>
  <si>
    <t>9401 James Ave S Suite 132</t>
  </si>
  <si>
    <t>Australia</t>
  </si>
  <si>
    <t>75F</t>
  </si>
  <si>
    <t>Burnsville-based 75F announced this morning that it had completed its $18 million Series A funding round, led by Breakthrough Energy Ventures and Oil and Gas Climate Initiative. The $18 million comes from a combination of investments and the issuance of convertible notes. 75F creates smart HVAC technology for commercial buildings. 75F will use the funds to add about 40 Minnesota employees over the next year and a half, as well as hiring at its Bangalore, India office.</t>
  </si>
  <si>
    <t>https://www.bizjournals.com/twincities/news/2019/09/04/75f-raises-18-million-in-round-led-by-bill-gates.html</t>
  </si>
  <si>
    <t>221 River Ridge Circle S</t>
  </si>
  <si>
    <t>Minimizer</t>
  </si>
  <si>
    <t>As part of its long-term growth plan, Minimizer is in the final planning stage for a new facility located in Owatonna, Minn. Minimizer currently employs 83 people across three separate campuses in Blooming Prairie. All employees will be relocated to the site in Owatonna, which substantially increases the company's operating space from 54000 square feet to 96000 square feet. hopes to break ground on the new facility next month and plans to be moved in by the spring of 2021.</t>
  </si>
  <si>
    <t>https://www.minimizer.com/blog/2019/09/04/minimizer-announces-plan-to-build-new-one-hundred-thousand-square-foot-facility-in-owatonna/</t>
  </si>
  <si>
    <t>Blooming Prairie</t>
  </si>
  <si>
    <t>Heliene Inc., a Canadian maker of solar panels that a year ago opened a plant in Mountain Iron, is seeking funding to add automation and workers to the facility. The Post-Bulletin reports on the effort by Heliene, which is seeking $600,000 from the Dept of Iron Range Resources and Rehabilitation and another $300,000 from MN DEED The funding will go toward upgrading the ventilation system at a key part of the production process, speeding up production and leading to 15 additional jobs.</t>
  </si>
  <si>
    <t>https://www.bizjournals.com/twincities/news/2019/09/09/heliene-seeks-state-loan-to-expand-solar-panel.html</t>
  </si>
  <si>
    <t>Mayo Clinic &amp; Google</t>
  </si>
  <si>
    <t>Mayo Clinic and Google announced a partnership to develop ways for cloud computing, data analytics, machine learning and artificial intelligence to improve health care. The agreement is a key part Mayo's new CEO's plan to position the Rochester-based health care system as a platform that connects seriously ill patients with the best treatments. Financial terms were not disclosed. As part of the 10-year agreement, Google will open an office in Rochester that's staffed with Google engineers.</t>
  </si>
  <si>
    <t>Office (Non-HQ); Research &amp; Dev</t>
  </si>
  <si>
    <t>http://www.startribune.com/mayo-clinic-picks-google-for-data-storage-as-firms-announce-broader-partnership/559929972/</t>
  </si>
  <si>
    <t>Google</t>
  </si>
  <si>
    <t>Mountain View</t>
  </si>
  <si>
    <t>Cassia Life</t>
  </si>
  <si>
    <t>Cassia Life paid $3.55 million for the former 37,302-square-foot Honeywell office located in the southwest quadrant of Highway 100 and 70th Street West. Cassia completed about $3.5 million in renovations and repair before relocating the approximately 140 employees from its two headquarters to the Edina office.</t>
  </si>
  <si>
    <t>https://finance-commerce.com/2019/09/just-sold-volunteers-of-america-acquires-larger-office/</t>
  </si>
  <si>
    <t>7171 Ohms Lane</t>
  </si>
  <si>
    <t>Volunteers of America</t>
  </si>
  <si>
    <t>Volunteers of America National Services plans to move its offices Thursday from its longtime 10,000-square-foot office at 7530 Market Place Drive in Eden Prairie to a 15,000-square-foot space it has acquired at 7485 Office Ridge Circle in Eden Prairie. "The new building provides much-needed space to accommodate Volunteers of America National Services' growing team and comes with a host of amenities, which will also help drive innovation and encourage collaboration and employee satisfaction."</t>
  </si>
  <si>
    <t>7485 Office Ridge Circle</t>
  </si>
  <si>
    <t>US Bancorp</t>
  </si>
  <si>
    <t>Later this year about 285 US Bancorp employees will move to a re-­designed space of 55,000 SF on the 10th floor of the 58-story Capella Tower at 225 S. Sixth St. Most of those 285 employees are part of the bank's data and analytics team, while others are from adjacent functions such as marketing technology, data governance and risk modeling.</t>
  </si>
  <si>
    <t>http://www.startribune.com/nearly-300-us-bancorp-workers-to-move-to-capella-tower/560065742/</t>
  </si>
  <si>
    <t>225 S Sixth St</t>
  </si>
  <si>
    <t>Whirltronics Inc</t>
  </si>
  <si>
    <t>Buffalo</t>
  </si>
  <si>
    <t>Whirltronics proposes to add an additional 20,000 square feet production area to their lawn-mower blade manufacturing company at 208 Centennial Drive. They have applied for a modification of the existing TIF district to add the additional parcel that they have acquired from the adjoining property owner. HRA approved TIF modification. Seeking other public grant sources in addition to TIF. Developer begins construction to be completed in 2019. DEED awarded $139,422 from Job Creation Fund.</t>
  </si>
  <si>
    <t>https://www.ci.buffalo.mn.us/wp-content/uploads/2014/03/09.16.19-agenda-with-attachments-v1-certified.pdf</t>
  </si>
  <si>
    <t>208 Centennial Dr</t>
  </si>
  <si>
    <t>Daikin, the Japanese-based manufacturer that also has a substantial presence in nearby Faribault, has already started work on a 150,000-square-foot warehouse adjacent to its Owatonna plant. When completed, the portion of the company's existing building used as a warehouse will be modified for more production.</t>
  </si>
  <si>
    <t>http://www.startribune.com/owatonna-picks-up-three-big-projects-including-a-costco-distribution-center/560667942/</t>
  </si>
  <si>
    <t>1001 21st Ave NW</t>
  </si>
  <si>
    <t>CH Robinson Worldwide Inc</t>
  </si>
  <si>
    <t>C.H. Robinson CEO Bob Biesterfeld said the company will make $1 billion in technology investments over the next five years as it builds on its leadership advantage in the third-party logistics industry. About 80% of the $1 billion investment will be assigned to innovative and new product introductions, and the remainder will be spent on infrastructure and new talent acquisitions. Company has added 200 to 250 employees so far this year to its engineering teams, mainly at its Eden Prairie HQ.</t>
  </si>
  <si>
    <t>http://www.startribune.com/eden-prairie-s-c-h-robinson-pledges-to-spend-1b-over-five-years-on-technology/560706422/</t>
  </si>
  <si>
    <t>14701 Charlson Rd Ste 4000</t>
  </si>
  <si>
    <t>New Perspective Senior Living</t>
  </si>
  <si>
    <t>New Perspective Senior Living, which operates 24 senior living complexes in Minnesota and elsewhere, has opened a 30,000 square-foot headquarters and staff resource center in Minnetonka. The 21-year-old company said the refurbished rental building includes a 100-seat training center, conference rooms, video production center and a fitness facility to accommodate a growing central-office staff of 50 employees and others.</t>
  </si>
  <si>
    <t>http://www.startribune.com/senior-living-developer-opens-minnetonka-headquarters/560779292/</t>
  </si>
  <si>
    <t>5900 Clearwater Dr. Suite 500</t>
  </si>
  <si>
    <t>55343</t>
  </si>
  <si>
    <t>Lewis Brisbois Bisgaard Smith LLP</t>
  </si>
  <si>
    <t>Add Lewis Brisbois Bisgaard &amp; Smith to national firms opening up shop in the Twin Cities. The Los Angeles-based law firm recently announced it opened a Minneapolis office in the Wells Fargo Center with four attorneys previously from Bowman and Brooke. Michelle Gilboe will lead the Minneapolis office. The four are experienced in medical-device litigation. The firm leased 16,000 square feet in the Wells Fargo Center and has plans to add more attorneys to the office.</t>
  </si>
  <si>
    <t>https://www.bizjournals.com/twincities/news/2019/09/20/l-a-based-law-firm-opens-minneapolis-office-with.html</t>
  </si>
  <si>
    <t>Wells Fargo Center 90 7th St, Ste 2900</t>
  </si>
  <si>
    <t>Lewis Brisbois Bisgaard Smith</t>
  </si>
  <si>
    <t>WuXi Diagnostics</t>
  </si>
  <si>
    <t>A Chinese pharma and biotech giant plans to open its first U.S. facility in Rochester in partnership with Mayo Clinic. WuXi Diagnostics filed a building permit in April for a $543,000 tenant space project. WuXi Diagnostics is a one-year-old joint venture between Shanghai-based New WuXi Life Science Investment Limited and Mayo Clinic. New facility will be at the new One Discovery Square complex. Unknown number of staff but some WuXi employees are already working in Rochester in a separate building. Will open by end of 2019.</t>
  </si>
  <si>
    <t>https://www.bizjournals.com/twincities/news/2019/09/20/chinese-biotech-firm-partners-with-mayo-will-open.html</t>
  </si>
  <si>
    <t>WuXi AppTec</t>
  </si>
  <si>
    <t>Shangai</t>
  </si>
  <si>
    <t>China</t>
  </si>
  <si>
    <t>8x8</t>
  </si>
  <si>
    <t>8x8 Inc., a San Jose, Calif.-based company that provides cloud-based collaboration tools for businesses, opened a 34,000-square-foot office in the Baker Center. The ninth-floor office currently has 40 employees, a number that 8x8 hopes to triple to at least 120. The Baker Center office will center on 8x8's business operations, including sales and legal work. Business units from the company's operations around the country are moving to Minneapolis, and staff is growing at 5/week</t>
  </si>
  <si>
    <t>https://www.bizjournals.com/twincities/news/2019/09/24/a-silicon-valley-tech-company-wants-to-put-120.html</t>
  </si>
  <si>
    <t>8X8</t>
  </si>
  <si>
    <t>San Jose</t>
  </si>
  <si>
    <t>Delta ModTech</t>
  </si>
  <si>
    <t>Web product converter Delta ModTech will break ground Oct. 8 on a 210,000-square-foot production and engineering building on a portion of 43 acres of industrial land. The company paid $3.51 million for the property inside the 125-acre Bunker Lake Industrial Park. The city agreed to put $972,000 in tax increment financing Delta ModTech will nearly double the 120,000 SF of space it currently occupies at its current building. About 135 employees will relocate to Ramsey next July</t>
  </si>
  <si>
    <t>https://finance-commerce.com/2019/09/delta-modtech-to-break-ground-on-16-million-facility/</t>
  </si>
  <si>
    <t>Delta Modtech</t>
  </si>
  <si>
    <t>2019-Q4</t>
  </si>
  <si>
    <t>CHS</t>
  </si>
  <si>
    <t>CHS Inc. announced a $100 million expansion to its soybean processing plant in Fairmont. The upgrades to operations and safety will increase production capacity of soybean crush and soybean oil. The improved product quality will further optimise the production at the CHS soybean refinery at Mankato. The plant will expand by 30% and add 30% more production capacity. Financial assistance includes property tax abatement agreements with the City of Fairmont, Martin County and the Fairmont Area School Board. Construction is underway; completion is expected by fall of 2021.</t>
  </si>
  <si>
    <t>https://www.keyc.com/2019/10/01/chs-announces-expansion-plans-fairmont-soybean-processing-plant/</t>
  </si>
  <si>
    <t>1833 130th St</t>
  </si>
  <si>
    <t>Inver Grove Heights</t>
  </si>
  <si>
    <t>Infor</t>
  </si>
  <si>
    <t>Infor rebranded the 13-story downtown office building from Lawson Commons to Infor Commons, the latest sign it was reaffirming (its) commitment to the Twin Cities. The New York-based business software developer plans to hire 100 additional employees to its 650-person workforce in downtown St. Paul.</t>
  </si>
  <si>
    <t>https://www.twincities.com/2019/10/01/downtown-st-pauls-lawson-commons-is-now-infor-commons-as-infor-plans-to-hire-100-more-employees/</t>
  </si>
  <si>
    <t>Pioneer Press</t>
  </si>
  <si>
    <t>380 Saint Peter St</t>
  </si>
  <si>
    <t>Info</t>
  </si>
  <si>
    <t>SeaChange Print Innovations</t>
  </si>
  <si>
    <t>CEO Wendi Breuer of SeaChange Print Innovations watched as a crew delivered a $2 million HP inkjet press. It is the latest investment at a Plymouth-based company that sprung from the ashes of a failed printer at the same location 5 years ago. The high-speed, flexible-printing machine cuts waste and pollution and is the capstone of a $10 million investment by Breuer and the investors who bought the assets of the former company. Revenue grew from $9 million in 2014 to $21 million in 2018.</t>
  </si>
  <si>
    <t>http://www.startribune.com/after-10m-investment-plymouth-printing-company-s-revenue-more-than-doubles/562225022/</t>
  </si>
  <si>
    <t>14505 27th Ave N</t>
  </si>
  <si>
    <t>West Monroe Partners (GoKart Labs)</t>
  </si>
  <si>
    <t>Local company GoKart Labs has been acquired by Chicago-based West Monroe Partners, a move that will likely mean the end of the GoKart brand. GoKart describes itself as a "digital product studio, consultancy and ventures lab." West Monroe is a more traditional consultancy with expertise in technology. West Monroe is looking for a larger space in Minneapolis' downtown or North Loop neighborhoods. Washington D.C. office will close. With acquisition, West Monroe will have 150 employees in MN, plans to double staff.</t>
  </si>
  <si>
    <t>https://www.bizjournals.com/twincities/news/2019/10/08/minneapolis-based-gokart-labs-acquired-brand-will.html</t>
  </si>
  <si>
    <t>110 North 5th St Ste 520</t>
  </si>
  <si>
    <t>Specialty Manufacturing Co</t>
  </si>
  <si>
    <t>White Bear Township</t>
  </si>
  <si>
    <t>Scannell Properties projects include a 121,000-square-foot expansion of Specialty Manufacturing Cos.' two-building, 206,450-square-foot campus at 5858 and 5800 Centerville Road. That project is currently underway, said Township Planner Tom Riedesel.. From White Bear Township Meeting Minutes: SMC is proposing to construct an additional light industrial building on their property.</t>
  </si>
  <si>
    <t xml:space="preserve">http://www.ci.white-bear-township.mn.us/DocumentCenter/View/1663/Variance-Board-Meeting-of--September-23-2019-PDF </t>
  </si>
  <si>
    <t>5858 Centerville Rd</t>
  </si>
  <si>
    <t>Total Expert Inc</t>
  </si>
  <si>
    <t>Total Expert Inc., a St. Louis Park-based fintech company, has announced a $52 million fundraising round. The round was led by Georgian Partners, a Toronto, Canada-based VC firm that specializes in software companies. Total Expert collects data for its clients to help them get and keep customers. The company plans to add 100 employees in the next 12 months to the 212 it already has.</t>
  </si>
  <si>
    <t>https://www.bizjournals.com/twincities/news/2019/10/24/total-expert-lands-52m-states-biggest-software-vc.html</t>
  </si>
  <si>
    <t>Equity Financing</t>
  </si>
  <si>
    <t>Bio-Techne</t>
  </si>
  <si>
    <t>Bio-Techne Corp., a Minneapolis-based company, creates products for medical research and development. Announced it will spend $50 million to build out a new 60,000 square foot facility. Bulk of the cost will come from outfitting the facility to manufacture a type of protein used in cell therapy. Bio-Techne currently makes protein at its Minneapolis HQ for testing, rather than clinic production. Will have 20 employees to start, eventually 100 jobs. Opened Sept 2020.</t>
  </si>
  <si>
    <t>https://www.bizjournals.com/twincities/news/2019/10/28/bio-techne-will-open-40m-facility-in-st-paul.html</t>
  </si>
  <si>
    <t>22 Empire Dr</t>
  </si>
  <si>
    <t>Pattison Sand Company</t>
  </si>
  <si>
    <t>Benton Township</t>
  </si>
  <si>
    <t>The Twin Cities needs high-quality crushed rock to improve its network of roads and bridges. Pattison Sand Co. plans to break ground this fall on a new $2.8 million rail facility and industrial park in Benton Township, in Carver County, that will receive trainloads of crushed rock and other aggregates from the company's 750-acre quarry in northern Iowa. Pattison will use only a portion of the industrial park site for distribution and make the other half available to other businesses</t>
  </si>
  <si>
    <t>https://finance-commerce.com/2019/10/carver-county-aggregate-distribution-facility-pitched/</t>
  </si>
  <si>
    <t>Clayton</t>
  </si>
  <si>
    <t>Cemstone Concrete</t>
  </si>
  <si>
    <t>Cemstone is expanding and plan to add 17 jobs to its current workforce of 11 in Fairmont. In connection to Cemstone's expansion, Fairmont received a DEED Business Development Public Infrastructure (BDPI) grant of $434,075 to assist with water and sewer lines and a street in a new 37 acre industrial park, which also supports the Cemstone expansion.</t>
  </si>
  <si>
    <t>https://mn.gov/deed/newscenter/press-releases/?id=410709#/detail/appId/1/id/409143</t>
  </si>
  <si>
    <t>828 E 4th St</t>
  </si>
  <si>
    <t>Team Industries Inc</t>
  </si>
  <si>
    <t>Bagley</t>
  </si>
  <si>
    <t>Clearwater</t>
  </si>
  <si>
    <t>Team Industries to invest $5 million on an expansion that will add 20 employees. In connection to Team's expansion, Bagley was awarded a DEED Business Development Public Infrastructure (BDPI) grant of $211,850 to assist with the construction of water and sewer main extensions in an industrial park.</t>
  </si>
  <si>
    <t>https://www.bemidjipioneer.com/news/4750966-Bagley-receives-infrastructure-grant</t>
  </si>
  <si>
    <t>Bemidji Pioneer</t>
  </si>
  <si>
    <t>105 Park Ave NW</t>
  </si>
  <si>
    <t>Maurices</t>
  </si>
  <si>
    <t>Maurices is looking to increase its online presence by creating several new information technology jobs. The 20 new positions ' a number that will likely grow ' will all be based at the retailer's Duluth headquarters. The expansion of Maurices' IT arm comes as London-based private equity firm OpCapita purchased the company earlier this year for $300 million,</t>
  </si>
  <si>
    <t>https://www.duluthnewstribune.com/business/retail/4755006-Maurices-creating-new-IT-positions-to-expand-online-presence</t>
  </si>
  <si>
    <t>425 W Superior St</t>
  </si>
  <si>
    <t>OpCapita</t>
  </si>
  <si>
    <t>Essilor Laboratories of America</t>
  </si>
  <si>
    <t>St. Cloud State University (SCSU) will partner with Essilor subject matter experts to customize a training program that will be delivered to 712 employees (80 new). The MJSP grant is valued at $350,000. Training will increase the knowledge and skills of Essilor's employees resulting in increased job satisfaction, retention and opportunities for advancement. Essilor manufactures optical supplies.</t>
  </si>
  <si>
    <t>https://mn.gov/deed/newscenter/press-releases/#/detail/appId/1/id/409350</t>
  </si>
  <si>
    <t>6925 Saukview Dr</t>
  </si>
  <si>
    <t>Microbiologics</t>
  </si>
  <si>
    <t>Microbiologics is expanding their facility in 2020 and will streamline their processes and procedures with a cohesive, company-wide training program. In collaboration with Microbiologics, St. Cloud State University (SCSU) will coordinate and provide customized training for 195 employees (60 of them new) that is developed and delivered to fill gaps in knowledge and/or skills and provide the tools to remain competitive.</t>
  </si>
  <si>
    <t>200 Cooper Ave N</t>
  </si>
  <si>
    <t>Philips Healthcare</t>
  </si>
  <si>
    <t>One of the latest entries [to Plymouth] is Philips Healthcare, which moved into a renovated manufacturing facility in the second half of this year. It bought a former Boston Scientific building for $11 million. Parr says Philips consolidated three subsidiaries at the new location, including two from outside Minnesota.</t>
  </si>
  <si>
    <t>http://tcbmag.com/news/articles/2019/november/plymouth-med-tech-mecca</t>
  </si>
  <si>
    <t>5905 Nathan Lane N</t>
  </si>
  <si>
    <t>Royal Philips</t>
  </si>
  <si>
    <t>Eindhoven</t>
  </si>
  <si>
    <t>Netherlands</t>
  </si>
  <si>
    <t>Rise Modular</t>
  </si>
  <si>
    <t>Rise Modular, a Minneapolis startup company focused on creating modular components that can be assembled into hotels and apartments, has hit a milestone in its journey from concept to construction. The company closed Oct. 31 on the $9.5 million acquisition of a vacant 141,289-square-foot industrial building on 34 acres at 2355 Lemond Road in Owatonna. Plan to hire about 100 workers on board and ramps up production in early 2020. Renovations will cost several million dollars.</t>
  </si>
  <si>
    <t>https://finance-commerce.com/2019/11/just-sold-rise-modular-closes-on-owatonna-plant/</t>
  </si>
  <si>
    <t>2355 Lemond Rd</t>
  </si>
  <si>
    <t>ShopSabre</t>
  </si>
  <si>
    <t>An 18-year-old Lakeville company has hit two milestones: finding a new owner with the capital to help it grow and four times more space in a facility just a mile from its current location at 21630 Hanover Ave. ShopSabre, operating as Numerically Automated Cutting Systems LLC, closed Sept. 27 on the $5.8 million acquisition of a 100,149-square-foot industrial building at 21673 Cedar Ave. in Lakeville. The building is four times larger than the company's current location in leased space.</t>
  </si>
  <si>
    <t>https://finance-commerce.com/2019/10/just-sold-lakeville-manufacturer-finds-new-owner-bigger-building/</t>
  </si>
  <si>
    <t>21673 Cedar Ave</t>
  </si>
  <si>
    <t>The Bobcat manufacturing plant in Litchfield is getting a $26 million expansion that will triple the physical size of the facility and triple the workforce, from the current 100 to an expected 300 full-time employees. When completed in Sept 2020, the facility will be expanded from 60,000 square feet to nearly 200,000 square feet, which will more than triple the size of the current footprint. Construction is underway. The investment will modernize the existing production facility.</t>
  </si>
  <si>
    <t>https://www.twincities.com/2019/11/14/bobcat-announces-26m-expansion-for-minnesota-plant/</t>
  </si>
  <si>
    <t>Maud Borup</t>
  </si>
  <si>
    <t>Le Center</t>
  </si>
  <si>
    <t>Le Sueur</t>
  </si>
  <si>
    <t>Candy and gourmet foods maker Maud Borup Inc. will begin construction next month on a $5.5 million, 65,000-square-foot expansion of its Le Center manufacturing plant and warehouse. When completed next summer, the plant will add another 30 jobs, including some professional chocolatiers, bringing its total workforce to 150. The building addition and equipment in LeCenter will cost about $5.5 million.</t>
  </si>
  <si>
    <t>https://www.bizjournals.com/twincities/news/2019/11/27/maud-borup-will-expand-minnesota-candy-factory.html</t>
  </si>
  <si>
    <t>435 W Industrial St</t>
  </si>
  <si>
    <t>St Francis Regional Medical Center</t>
  </si>
  <si>
    <t>St. Francis Regional Medical Center in Shakopee is spending about $25 million to expand and renovate the hospital's emergency room and cancer center. The project will renovate 15,000 existing square feet, with another 15,000 square feet of new construction added to the hospital. The projects are expected to begin in 2020 and to be completed by fall 2021. (Revised investment $ in 1/2020 from Orig. Announcement 11/2019)</t>
  </si>
  <si>
    <t>https://www.bizjournals.com/twincities/news/2020/01/31/shakopee-hospital-to-get-25-million-facelift.html</t>
  </si>
  <si>
    <t>1455 Saint Francis Ave</t>
  </si>
  <si>
    <t>Allina Health System</t>
  </si>
  <si>
    <t>Nystrom Inc</t>
  </si>
  <si>
    <t>4/2019: Steinwall sold its 65,274-square-foot office warehouse at 9224 73rd Ave. N., Brooklyn Park for $3.7 million to Nystrom, a specialty building products distributor next door.
12/2019: this month Nystrom will christen a $5.5 million expansion (i.e. $3.8 million in renovations, build out) next door to its flagship facility, allowing it to relocate about 40 workers, who labored in a leased facility several miles away, to what is now a 100,000-plus-square-foot Nystrom campus.</t>
  </si>
  <si>
    <t>http://www.startribune.com/female-ceo-leads-minnesota-building-products-maker-to-campus-expansion/565623832/</t>
  </si>
  <si>
    <t>Star Tribune. Finance &amp; Commerce</t>
  </si>
  <si>
    <t>9300 73rd Ave N</t>
  </si>
  <si>
    <t>JBS USA</t>
  </si>
  <si>
    <t>Pipestone</t>
  </si>
  <si>
    <t>JBS USA, the U.S. subsidiary of Brazil's JBS S.A., said Tuesday it has agreed to lease the beef processing facility with plans to later acquire it from J&amp;B Group. The deal saves more than 130 jobs in the small southwestern Minnesota town.The seller, St. Michael, Minn.-based J&amp;B, announced in September it would end production at the Pipestone plant and close it in early December. JBS plans to invest in the plant and grow its business in Pipestone.</t>
  </si>
  <si>
    <t>130 retained</t>
  </si>
  <si>
    <t>http://www.startribune.com/jbs-buys-nearly-shuttered-pipestone-minn-meat-plant-preserving-130-jobs/565750952/</t>
  </si>
  <si>
    <t>1401 Sioux Dr</t>
  </si>
  <si>
    <t>Greeley</t>
  </si>
  <si>
    <t>Central McGowan Inc</t>
  </si>
  <si>
    <t>Central McGowan is a FANUC-authorized integrator that helps its customers incorporate robotic solutions and technologies into their operations. The company oversees, develops and designs fully-engineered specialty hard automation, robotic automation systems, and everything in between. This project will expand Central McGowan's existing 12,000-square-foot automation center at an estimated cost of $1.6 million. Job Creation Fund Award $120,000.</t>
  </si>
  <si>
    <t>https://mn.gov/deed/ed/about-us/news-events/press-releases/ed-press-releases.jsp?id=1045-412687</t>
  </si>
  <si>
    <t>123 Roosevelt Rd</t>
  </si>
  <si>
    <t>P.A. SpA</t>
  </si>
  <si>
    <t>P.A. SpA is an Italian family-run company founded in 1983. The company manufactures high-pressure cleaning accessories such as spray guns, lances and valves. P.A. SpA will expand into a 65,000-square-foot building in Bloomington. The total project cost is nearly $5.5 million and it's expected to create 12 jobs within the first year at an average wage of $19.68 an hour. Job Creation Fund Award $110,619.
July 2021 update: Opens in the fall</t>
  </si>
  <si>
    <t>PA SpA</t>
  </si>
  <si>
    <t>Rubiera</t>
  </si>
  <si>
    <t>JUST Inc</t>
  </si>
  <si>
    <t>Appleton</t>
  </si>
  <si>
    <t>Swift</t>
  </si>
  <si>
    <t>JUST (Eat JUST, Inc.) announced the acquisition of a 30,000-square-foot facility and 40 acres of land in Appleton, Minnesota. The plant had been operating as Del Dee Foods. For more than a year, JUST has partnered with Del Dee to scale up JUST's protein extraction process. JUST has already invested millions of dollars in processing equipment for the site and will continue to expand its footprint in Appleton. Facility workforce has doubled to nearly 40 workers across multiple shirts throughout the week.</t>
  </si>
  <si>
    <t>https://thepoultrysite.com/news/2019/12/just-acquires-minnesota-protein-facility-with-plans-to-expand</t>
  </si>
  <si>
    <t>733 N Munsterman St</t>
  </si>
  <si>
    <t>DDL Inc</t>
  </si>
  <si>
    <t>Investment of $7.9 million expected to create 20 new jobs. DEED award: JCF $175,000. exact nature of expansion unknown.</t>
  </si>
  <si>
    <t>10200 Valley View Rd #101</t>
  </si>
  <si>
    <t>In December, Sun Country announced a six-year deal with Amazon to provide a new cargo service for Amazon Air. Sun Country will add 10 airplanes to its fleet for Amazon Air, hire 70 more pilots and 20-30 staffers at HQ to support this new service.</t>
  </si>
  <si>
    <t>http://www.startribune.com/sun-country-will-start-cargo-service-with-a-big-first-customer-amazon/566286912/</t>
  </si>
  <si>
    <t>Cirtec Medical</t>
  </si>
  <si>
    <t>Implantable device outsourcer Cirtec Medical will build a “neuromodular center of excellence” in a manufacturing plant near its facility in Brooklyn Park, Minn. The center will be housed in an 85,000 sq. ft. building that the company leased to manufacture active implantable devices and perform clean-room assembly. The new space  expand Cirtec's engineering capabilities. Construction will begin in the first quarter of 2020, and completed in the 2nd half of 2020.
DEED Update: MIF Award $800K (7/31/20)</t>
  </si>
  <si>
    <t>https://www.medicaldesignandoutsourcing.com/cirtec-medical-to-open-neuromodular-manufacturing-plant-in-minnesota/</t>
  </si>
  <si>
    <t>Invt and Jobs from Kevin/DEED</t>
  </si>
  <si>
    <t>9200 Xylon Ave N</t>
  </si>
  <si>
    <t>2020-Q1</t>
  </si>
  <si>
    <t>Dominium</t>
  </si>
  <si>
    <t>Dominium, one of the country’s largest affordable housing developers, is moving its headquarters from Plymouth to Minnetonka. Dominium, which has 200 corporate employees, will occupy half of the Crest Ridge Corporate Center. It will renovate the LEED Gold-certified building early this year and make the other half available for lease. It had outgrown its current space. The company purchased Crest Ridge Corporate Center for $18.5 million.</t>
  </si>
  <si>
    <t>https://www.bizjournals.com/twincities/news/2020/01/02/dominium-will-relocate-to-former-syngenta-building.html</t>
  </si>
  <si>
    <t>11055 Wayzata Blvd</t>
  </si>
  <si>
    <t>Pepper Foster Consulting</t>
  </si>
  <si>
    <t>Pepper Foster announced it is launching a second office in Minneapolis, headquartered at the Nordic building in the North Loop. The office will be led by longtime consulting veteran Kathleen Kelly. Pepper Foster expects to build up to between 250 and 300 employees in the next two to three years.</t>
  </si>
  <si>
    <t>OF</t>
  </si>
  <si>
    <t>https://finance-commerce.com/2020/01/consulting-firm-chooses-minneapolis-for-2nd-office/</t>
  </si>
  <si>
    <t>Oregon</t>
  </si>
  <si>
    <t>Fairchild Equipment</t>
  </si>
  <si>
    <t>Building Report, Minneapolis Gov for Jan 2020: obtained a building permit to "add offices and service center" for $360,000</t>
  </si>
  <si>
    <t>https://www.bloomingtonmn.gov/bldg/permit-status-inspection-results-monthly-building-reports</t>
  </si>
  <si>
    <t>January 2020 Building Permit Report, Bloomington</t>
  </si>
  <si>
    <t>2000 W 94th St</t>
  </si>
  <si>
    <t>Earl Giles Distillery</t>
  </si>
  <si>
    <t>Beverage maker Earl Giles Distillery is expanding its operation into a 16,000-square-foot space in a huge industrial redevelopment in northeast Minneapolis.
The distiller plans to expand from its current space in an Uptown Minneapolis commercial kitchen into a purpose-built facility at 94,355-square-foot Keller Building at 1325 Quincy Ave. NE. Earl Giles will open its new distillery/production center and eatery in the fourth quarter of 2020.</t>
  </si>
  <si>
    <t>MF, FD</t>
  </si>
  <si>
    <t>Beverages</t>
  </si>
  <si>
    <t>https://finance-commerce.com/2020/01/distiller-to-be-latest-keller-building-tenant/</t>
  </si>
  <si>
    <t>1325 Quincy St NE</t>
  </si>
  <si>
    <t>Broadhead</t>
  </si>
  <si>
    <t>Broadhead advertising agency is the Twin Cities’ largest independent ad agency. The agency plans to move its headquarters and its more than 100 employees in June, into the Internet Exchange Building at 411 N. Washington Av., a few blocks away. 
Broadhead will occupy about 37,000 square feet of space on three floors, nearly double its current space, which allows the agency to consolidate its offices from two other locations</t>
  </si>
  <si>
    <t>http://www.startribune.com/ad-agency-broadhead-prepares-for-growth-and-new-office-move/566890712/</t>
  </si>
  <si>
    <t>411 N Washington Ave</t>
  </si>
  <si>
    <t>Douglas Machine</t>
  </si>
  <si>
    <t>Douglas Machine is planning a $4.3 million addition, with an additional 39,600 sq feet for manufacturing/warehouse and 6,600 sq feet for office space.
Expansion will add 15 full-time employees within two years. Douglas Machine builds automated packaging machinery. It has 665 employees at its Alexandria facility. TIF assistance will cover $315,000 of the site development costs. Project expected to be  “substantially complete” by end of 2020.</t>
  </si>
  <si>
    <t>MF, WH, OF</t>
  </si>
  <si>
    <t>https://www.echopress.com/news/government-and-politics/4863669-Douglas-Machine-eyes-big-expansion</t>
  </si>
  <si>
    <t>Also DEED</t>
  </si>
  <si>
    <t>3404 Iowa St</t>
  </si>
  <si>
    <t>JCF ($177K), TIF ($315K)</t>
  </si>
  <si>
    <t>Tri-County Health Care</t>
  </si>
  <si>
    <t>Wadena</t>
  </si>
  <si>
    <t>Otter Tail</t>
  </si>
  <si>
    <t>Tri-County Health Care, a private, not-for-profit health care system paid $1.35 million for a 76-acre property at 63835 Highway 10 in Wadena. Workers are expected to break ground this summer on a plannned $70 million, 120,000-square-foot hospital, which will replace an aging 46-year-old main campus. The new hospital will serve patients in and around Otter Tail County.  The project will create 48 new jobs paying $4.4 million in wages, salaries and benefits. Tri-County currently has 364 current full-time equivalent employees.</t>
  </si>
  <si>
    <t>HC</t>
  </si>
  <si>
    <t>Health Care</t>
  </si>
  <si>
    <t>https://finance-commerce.com/2020/01/tri-county-acquires-land-for-70-million-hospital/</t>
  </si>
  <si>
    <t>63835 Highway 10</t>
  </si>
  <si>
    <t>The Coven</t>
  </si>
  <si>
    <t>Saint Paul</t>
  </si>
  <si>
    <t>The Coven, a Minneapolis-based coworking business that caters to women, non-binary, and trans customers, will open its second location later this month in St. Paul.
Mpls.St. Paul Magazine reports on the new space at St. Paul's Blair Arcade building, which will be unveiled Jan. 28. The Coven, which launched its first coworking facility in the North Loop neighborhood in 2017, will be nearly twice as big this time with a 9,500-square-foot space. Members will be able to use either facility.</t>
  </si>
  <si>
    <t>Coworking</t>
  </si>
  <si>
    <t>https://www.bizjournals.com/twincities/news/2020/01/16/the-coven-will-expand-to-st-paul-with-new.html</t>
  </si>
  <si>
    <t>400 Selby Ave</t>
  </si>
  <si>
    <t>Building Report, Minneapolis Gov for Jan 2020: 75F obtained a building permit for "office remodel" for $611,800</t>
  </si>
  <si>
    <t>1650 W 82ND ST</t>
  </si>
  <si>
    <t>Carvana</t>
  </si>
  <si>
    <t>Online used car dealership Carvana is growing its Minnesota presence.  Carvana has expanded to St. Cloud, Rochester, and Mankato. Carvana began offering service in St. Cloud on Tuesday, Rochester on Wednesday, and Mankato on Thursday. All Minnesota markets will be serviced from an operating site in Minneapolis. The site will be staffed by about 10 people initially.</t>
  </si>
  <si>
    <t>http://tcbmag.com/news/articles/2020/january/online-used-car-company-carvana-sets-up-shop-in-minnesota</t>
  </si>
  <si>
    <t>Sibley Parkway Winery</t>
  </si>
  <si>
    <t>A planned Sibley Parkway Winery is proposed for a 16-acre parcel of land near the Northstar Bridge. The city of Mankato was awarded $202,394 in Redevelopment Grant funds for demolition and infrastructure improvements on this site. Site will be redeveloped into a two-story, 7,800 square foot wine production facility with associated commercial and food sales. The project will create 18 jobs and increase the tax base by $13,862. Matching funds will be paid by developer.</t>
  </si>
  <si>
    <t>https://www.keyc.com/2020/01/28/mankato-city-council-approves-submission-redevelopment-grant-sibley-parkway-winery-project/</t>
  </si>
  <si>
    <t>KEYC, DEED</t>
  </si>
  <si>
    <t>Redevelopment Grant</t>
  </si>
  <si>
    <t>Alliant Castings</t>
  </si>
  <si>
    <t>Alliant Castings plans to construct a 12,000-square-foot-plus new building this year on land that borders its current facility. This will add 12-15 jobs. 
Before 3-D printers, a highly skilled pattern maker would make models by hand out of wood or aluminum. 3D printers made it possible to make models really fast, at prices that made small orders and custom parts more economical..
Alliant also won a $250,000 grant from DEED to help pay for a sewer and water line extension and access road improvements.</t>
  </si>
  <si>
    <t>MF, OF</t>
  </si>
  <si>
    <t>http://www.winonapost.com/Community-Record/Business-News/ArticleID/67825/New-tech-powers-foundry-to-add-jobs</t>
  </si>
  <si>
    <t>Winona Post</t>
  </si>
  <si>
    <t>1200 W 3rd St</t>
  </si>
  <si>
    <t>BDPI?</t>
  </si>
  <si>
    <t>Minnetronix Medical</t>
  </si>
  <si>
    <t xml:space="preserve">Minnetronix Medical is planning its fourth expansion since moving to St. Paul’s Energy Park Drive in 2000. The 2020 project will increase the company’s footprint from 120,000 square feet to 140,000 square feet, with a plan to grow to 170,000 square feet by 2023. The expansion will add 75 jobs within three years at an average $25.94/hour. The project will cost $6 million.
DEED awards: $500,000 award from the Job Creation Fund,  $500,000 Minnesota Investment Fund loan. </t>
  </si>
  <si>
    <t>MF,HQ</t>
  </si>
  <si>
    <t>https://mn.gov/deed/newscenter/press-releases/?id=418027; https://finance-commerce.com/2020/01/minnetronix-to-continue-expanding-in-midway/</t>
  </si>
  <si>
    <t>DEED, Finance &amp; Commerce</t>
  </si>
  <si>
    <t>JCF ($500K), MIF ($500K)</t>
  </si>
  <si>
    <t>New Spaces</t>
  </si>
  <si>
    <t>New Spaces, a Twin Cities remodeling contractor with deep roots in Burnsville, has opened a second office in Edina.
The new office, at 200 Southdale Center, caters to clients in Minneapolis, Edina, Eden Prairie and other west metro communities, according to a press release. The office complements New Spaces’ longtime showroom at 22105 West 143rd St. in Burnsville.</t>
  </si>
  <si>
    <t>https://finance-commerce.com/2020/01/new-spaces-opens-second-metro-area-office/</t>
  </si>
  <si>
    <t>10 Southdale Center</t>
  </si>
  <si>
    <t>Shutterly</t>
  </si>
  <si>
    <t>Photo-services giant Shutterfly will relocate up to 100 marketing jobs from California to its Lifetouch subsidiary in Eden Prairie by the summer. Nearly 700 employees now work at Lifetouch’s Eden Prairie headquarters. No state or city assistance was received for this relocation. The building will not need further construction but will be renovated. The move expands Shutterfly’s commitment to the Twin Cities. The company also has a large manufacturing center in Shakopee.</t>
  </si>
  <si>
    <t>Printing</t>
  </si>
  <si>
    <t>http://www.startribune.com/shutterfly-to-move-up-to-100-jobs-from-california-to-eden-prairie/567407072/</t>
  </si>
  <si>
    <t>11000 Viking Dr</t>
  </si>
  <si>
    <t>Soyko</t>
  </si>
  <si>
    <t>Gary</t>
  </si>
  <si>
    <t>Norman</t>
  </si>
  <si>
    <t>Soyko is currently in the process of adding additional equipment and expanding our facility even further for quicker processing and larger handling of our products. Soyko is constructing a 3rd facility on-site.  This new 12,600 SF facility and equipment will create capacity to double production in order to meet customer demand.  The total project cost is $3.8 million and will create 12 jobs, more than doubling its workforce.</t>
  </si>
  <si>
    <t>Grain Processing</t>
  </si>
  <si>
    <t>https://www.soykointernational.com/our-facility</t>
  </si>
  <si>
    <t>2493 380th St</t>
  </si>
  <si>
    <t>Cargill</t>
  </si>
  <si>
    <t>Cargill Inc. is building a $6.4 million, 6,500 square feet, testing center in Savage.  The new bakery and chocolate lab will be one of Cargill's five so-called "Pilot Development Centers" worldwide where Cargill tests new ingredients for food products. One is in Plymouth and the others are overseas in Belgium, China and Singapore.
The new facility will triple the size of Cargill’s food pilot operations in the Twin Cities. The North American PDC will be next door to a 17,300-square-foot Cargill engineering-research lab. It should open by late summer.</t>
  </si>
  <si>
    <t>RD</t>
  </si>
  <si>
    <t>https://www.bizjournals.com/twincities/news/2020/02/06/cargill-is-adding-a-chocolate-lab-in-savage.html</t>
  </si>
  <si>
    <t>12111 Lynn Ave</t>
  </si>
  <si>
    <t>Millerbernd Manufacturing</t>
  </si>
  <si>
    <t>Winsted</t>
  </si>
  <si>
    <t>Millerbernd Manufacturing has worked with Winsted city staff since 2019 on plans to construct additional facilities. Eric Stack, president, said the expansion will add about 100 employees during the next three years, growing total employees to 550. One division: expansion will add 73 jobs, is investing $3 million, and received MIF award=$450K, JCF award=$475K (awards from May 2020). Second division: expansion will add 28 jobs, is investing $12.9 million and received MIF $475K and JCF $250K.</t>
  </si>
  <si>
    <t>Iron, Steel</t>
  </si>
  <si>
    <t>http://herald-journal.com/archives/2020/stories/winsted-council-020420.html</t>
  </si>
  <si>
    <t>Herald Journal</t>
  </si>
  <si>
    <t>622 6th St S</t>
  </si>
  <si>
    <t>MIF $475K, JCF $250K, $95,811 BDPI to Winstead</t>
  </si>
  <si>
    <t>AbelConn</t>
  </si>
  <si>
    <t>AbelConn Electronics designs and manufactures fully-tested electronics. It is looking to relocate from New Hope in Maple Grove to create room for their expected growth. AbelConn's new site is at 8550 Zachary Lane in the Arbor Lakes Corporate Center. AbelConn plans to purchase machinery and equipment for the new headquarters. AbelConn plans to invest $13.6 million in the new HQ site and expects to create 97 jobs 2/2020 DEED awarded AbelConn $600K MIF. 7/2021: New facility opens.</t>
  </si>
  <si>
    <t>MF,OF, HQ</t>
  </si>
  <si>
    <t>https://www.hometownsource.com/press_and_news/news/government/maple-grove-approves-plans-for-commercial-site-near-hy-vee/article_8bc71fe2-4dd5-11ea-86b1-832fe5dd9343.html</t>
  </si>
  <si>
    <t>8550 Zachary Lane N</t>
  </si>
  <si>
    <t>Celestica (Atrenne)</t>
  </si>
  <si>
    <t>Ontario</t>
  </si>
  <si>
    <t>Life Fitness - Cybex International</t>
  </si>
  <si>
    <t>Cybex is proposing to relocate at least 75 jobs from a plant that is closing in Illinois. Cybex plans to create an additional 75 jobs. Cybex plans an estimated $3 million in capital investment. DEED awards: JCF $400,000 award. Investment will involve both building expansion (adding square feet) and equipment investments.</t>
  </si>
  <si>
    <t>http://ci.owatonna.mn.us/AgendaCenter/ViewFile/Item/375?fileID=3267</t>
  </si>
  <si>
    <t>City of Owatonna, Also DEED</t>
  </si>
  <si>
    <t>1975 SW 24th Ave</t>
  </si>
  <si>
    <t>Dairyland Power</t>
  </si>
  <si>
    <t>Harmony</t>
  </si>
  <si>
    <t>Dairyland Power Cooperative of La Crosse Wisconsin plans to build an operations and warehousing facility in Harmony. The 23,000 square foot building would cost $5.5 million. The project would create $2.3 million in new tax base, and bring 4 new FTE jobs into Harmony. Dairyland received a $74,537 Greater Minnesota BDPI grant from DEED and a 0% interest, $84,082.50 loan from MiEnergy Cooperative to fund public infrastructure improvements.</t>
  </si>
  <si>
    <t>WH, MF</t>
  </si>
  <si>
    <t>https://www.cedausa.com/2020/02/industrial-growth-and-grants-received-in-harmony-mn-with-ceda-assistance/</t>
  </si>
  <si>
    <t>BDPI ($74,537), low interest loan ($84,082)</t>
  </si>
  <si>
    <t>All Flex, Inc.</t>
  </si>
  <si>
    <t>All Flex Flexible Circuits plans to invest $10.4 million for a facility expansion and investment in new equipment. The company plans on adding 14,000 SF to their existing production facility, adding $8 million of new capital equipment and 38 full time positions locally. The EDA approved the $50,000 revolving loan, which helps in the company’s effort to receive $300,000 from the Minnesota Investment Fund. The $50,000 is contingent on MIF approval.</t>
  </si>
  <si>
    <t>MF, HQ</t>
  </si>
  <si>
    <t>https://kymnradio.net/2019/12/31/all-flex-flexing-to-expand-new-laws-to-regulate-pharmacy-middlemen-and-controlled-substance-providers-turkey-hunters-have-more-options-crews-trimming-branches-ig-woods-volunteers-needed-for-candle/</t>
  </si>
  <si>
    <t>1705 Cannon Ln</t>
  </si>
  <si>
    <t>MIF ($300K), JCF ($175K), EDA Loan ($50K)</t>
  </si>
  <si>
    <t>DSM-Firmenich</t>
  </si>
  <si>
    <t>Firmenich announced an expansion project three years ago, but began initial construction in spring 2019. The expansion will add capacity, create roughly 15 new jobs and includes buying new equipment. Firmenich makes flavoring ingredients that are added to, for example, food, beverages and healthcare products. The New Ulm plant, employing 110 workers currently, is one of five facilities in North America. With the new expansion, the New Ulm plant will become a flagship operation in the Firmenich family.</t>
  </si>
  <si>
    <t>https://www.nujournal.com/news/local-news/2020/02/27/firmenich-expansion-cements-its-presence-commitment-to-new-ulm/</t>
  </si>
  <si>
    <t>100 N Valley St</t>
  </si>
  <si>
    <t>Allina Health (Abbott Northwestern Hospital)</t>
  </si>
  <si>
    <t>Allina Health System's Abbott Northwestern Hospital is planning a $70 million transportation hub and a $122 million utilities plant. They will also build a new building for patient treatment. Will break ground for the transportation hub this fall. The utilities plant is expected to be operational in two-and-a-half to three years. The new patient treatment won't open until 2027 or 2028.</t>
  </si>
  <si>
    <t>Other (infrastructure, utilities)</t>
  </si>
  <si>
    <t>https://www.bizjournals.com/twincities/news/2020/02/28/allina-plans-almost-200m-in-abbott-northwestern.html</t>
  </si>
  <si>
    <t>Cherne Industries</t>
  </si>
  <si>
    <t xml:space="preserve">Cherne Industries, a maker of pipe plugs and related equipment for plumbing and underground industries, will move its headquarters and 115 jobs from Edina to a new facility in Shakopee.
Shakopee's City Council approved a $460K tax abatement for a new, 130,000-square-foot office and warehouse site located between Vierling Drive and County Road 69. Opus Group will develop the $11.74 million building, and then lease to Cherne. Cherne plans to add 50 jobs at its Shakopee facility over the next five years, and retain the existing 115 jobs. </t>
  </si>
  <si>
    <t>OF,WH</t>
  </si>
  <si>
    <t>https://www.bizjournals.com/twincities/news/2020/02/28/manufacturer-will-move-hq-from-edina-to-shakopee.html</t>
  </si>
  <si>
    <t>1198 Vierling Dr E</t>
  </si>
  <si>
    <t>Local Tax Abatement</t>
  </si>
  <si>
    <t>Polar Semiconductor</t>
  </si>
  <si>
    <t>Building permits for "Polar Semiconductor Fab 3 Modifications" and "P1 Storage Modifications". As the wafer fabrication division of Allegro MicroSystems, Inc., Polar Semiconductor operates a 310,000 square-foot facility that includes 140,000 square-feet of cleanroom space.  We specialize in 200mm wafer production on proprietary wafer technologies.</t>
  </si>
  <si>
    <t>Bloomington Building Permit records</t>
  </si>
  <si>
    <t>2800 E OLD SHAKOPEE RD</t>
  </si>
  <si>
    <t>Bosch</t>
  </si>
  <si>
    <t>Bosch is a multinational engineering and electronics company that produces automotive and industrial products. Bosch — or Robert Bosch LLC —plans to build a new warehouse that would create 50 new jobs and have a total capital investment of $15 million. Bosch employs 600 people in Owatonna.
For this project, Bosch is requesting TIF assistance from Owatonna and a BDPI grant from DEED to help with infrastructure costs. Update 4/8: TIF district approved. Owatonna received $176,124 BDPI.</t>
  </si>
  <si>
    <t>WH</t>
  </si>
  <si>
    <t>https://www.southernminn.com/owatonna_peoples_press/news/article_e358eb7a-44a1-5adc-9fac-3ac03056061b.html#utm_source=southernminn.com&amp;utm_campaign=%2Fnewsletters%2Fbusiness%2F%3F-dc%3D1583857812&amp;utm_medium=email&amp;utm_content=headline</t>
  </si>
  <si>
    <t>SouthernMinn.com</t>
  </si>
  <si>
    <t>2884 W Bridge St.</t>
  </si>
  <si>
    <t>BDPI ($176,124), est. TIF ($210296)</t>
  </si>
  <si>
    <t>Robert Bosch</t>
  </si>
  <si>
    <t>White Dog Labs</t>
  </si>
  <si>
    <t>White Dog Labs might be based in Delaware, but the biotech company has big plans for its future in Minnesota. The company is currently raising funds from investors to reopen the Central Minnesota Renewables facility in Little Falls. They expect to restore at least 40 jobs to the city. So far, Musea Ventures has invested around $15 million into White Dog. White, and plans to raise another $15 million to get things going.  White Dog Labs will focus on refurbishing the Little Falls plant and hopes to begin production by the end of 2020.</t>
  </si>
  <si>
    <t>https://www.bizjournals.com/twincities/news/2020/03/10/white-dog-labs-creating-a-biotech-innovation.html</t>
  </si>
  <si>
    <t>17936 Heron Rd</t>
  </si>
  <si>
    <t>Delaware</t>
  </si>
  <si>
    <t>US</t>
  </si>
  <si>
    <t>Wolters Kluwer</t>
  </si>
  <si>
    <t>Wolters Kluwer, a provider of technical services to hospitals, banks, accounting and law firms, recently finished a hiring spree at its downtown Minneapolis office. The Dutch-based company announced last week it hired about 40 programmers and other data specialists, finishing at 131 employees, doubling from 62 three years ago.
In addition to the current burst of hiring, Meirink said he anticipates another round later this year. Overall, the firm employs about 700 Minnesotans, including 470 in St. Cloud.</t>
  </si>
  <si>
    <t>40+</t>
  </si>
  <si>
    <t>http://www.startribune.com/wolters-kluwer-hunts-for-40-tech-workers-at-mpls-office/568671042/</t>
  </si>
  <si>
    <t>100 S 5th St. Suite 700</t>
  </si>
  <si>
    <t>Life Time Inc.’s expansion into the coworking sector is reaching downtown Minneapolis. The Chanhassen-based company announced it is planning to open a 53,000-square-foot Life Time Work on the top three floors of the former YMCA building near Hennepin Avenue and Ninth Street.</t>
  </si>
  <si>
    <t>https://www.bizjournals.com/twincities/news/2020/03/13/life-time-picks-a-site-for-coworking-offices-in.html</t>
  </si>
  <si>
    <t>600 N 1st Ave N</t>
  </si>
  <si>
    <t xml:space="preserve">Amazon said Monday that it needs to hire 100,000 people across the U.S. to keep up with a crush of orders as the coronavirus spreads and keeps more people at home, shopping online. The online retailer said it will also temporarily raise pay by $2 an hour through the end of April for hourly employees. That includes workers at its warehouses, delivery centers and Whole Foods grocery stores, all of whom make at least $15 an hour. </t>
  </si>
  <si>
    <t>WH, Other</t>
  </si>
  <si>
    <t>http://www.startribune.com/business-briefing-amazon-has-plans-to-hire-100-000-workers/568843152/</t>
  </si>
  <si>
    <t>A cybersecurity firm called Arctic Wolf Networks, based in Sunnyvale, Calif., last week received $60 million in venture capital. The funds will help the 400-person firm double the size of its Eden Prairie office to 260 by 2021, local executives said. (i.e. Currently 130 of the 400 are in Eden Prairie.)</t>
  </si>
  <si>
    <t>http://www.startribune.com/how-silicon-valley-s-arctic-wolf-made-it-to-minnesota-s-silicon-prairie/568784112/</t>
  </si>
  <si>
    <t>8939 Columbine Rd Suite 150</t>
  </si>
  <si>
    <t>Lamex Foods</t>
  </si>
  <si>
    <t>Building permit for "interior tenant improvement": In 1986, Lamex Foods Inc. opened in Bloomington, MN to assist its EU counterparts in the procurement of US beef. Its primary products include chicken, turkey, pork, beef, honey, juice concentrates, ingredients, fruit and vegetables. Its main US office is in Bloomington, MN.</t>
  </si>
  <si>
    <t xml:space="preserve">Food </t>
  </si>
  <si>
    <t>5800 W 84TH ST</t>
  </si>
  <si>
    <t>Turnford</t>
  </si>
  <si>
    <t>Hertfordshire</t>
  </si>
  <si>
    <t>Delkor</t>
  </si>
  <si>
    <t>The increased demand and urgency to keep food companies during the coronavirus pandemic. Orders for Delkor System’s bus-sized packaging robots are coming in so fast from food companies such as Daisy Sour Cream, Hershey, Hormel and Great Lakes Cheese that the Arden Hills factory is adding space and more than 30 new workers to keep up with demand. The company also took over the lease next door, gaining a 30,000-square-foot space.</t>
  </si>
  <si>
    <t>https://www.startribune.com/empty-shelves-mean-suppliers-like-arden-hills-delkor-are-adding-workers/569127672/</t>
  </si>
  <si>
    <t>4300 Round Lake Rd W</t>
  </si>
  <si>
    <t>Trystar</t>
  </si>
  <si>
    <t xml:space="preserve">Trystar manufactures temporary electrical power units for commercial and emergency services. It employs 150 full-time employees in Faribault and a couple dozen in Burnsville. 
Trystar has 140,000 SF of space across four buildings in Faribault. Trystar will move into a new 100,000 SF warehouse -- initially built for the Cheese Cave, Faribault Foods and SageGlass -- and those companies would move into Trystar’s old facilities.  Faribault’s EDA approved a $100,000 loan, forgivable after 5 years. The city and county board will cover $450,000 via tax abatement. </t>
  </si>
  <si>
    <t>(150 retained)</t>
  </si>
  <si>
    <t>https://www.southernminn.com/faribault_daily_news/news/article_8030e12c-bc35-5c50-9b16-2f2a63584ba2.html#utm_source=southernminn.com&amp;utm_campaign=%2Fnewsletters%2Fbusiness%2F%3F-dc%3D1585326610&amp;utm_medium=email&amp;utm_content=headline</t>
  </si>
  <si>
    <t>2917 Industrial Dr</t>
  </si>
  <si>
    <t>EDA ($100K), Tax Abatement ($450K)</t>
  </si>
  <si>
    <t>Seagate Technology</t>
  </si>
  <si>
    <t>Building permit for: Construction of a new structure to support a 25,000-pound freight elevator located at One Disk Drive, Bloomington, MN 55435. The addition is approximately 1200 square feet on two levels.</t>
  </si>
  <si>
    <t>7801 COMPUTER AVE S</t>
  </si>
  <si>
    <t>Ceridian</t>
  </si>
  <si>
    <t xml:space="preserve">Building permit for: "Remodel of existing Tenant Space (small suite on Lower Level) Full Floor on 4th Floor. New walls, doors, ceiling, lighting, HVAC re-work, etc.  No structural changes." Software solutions for Human capital management from Ceridian transforms your HR, business payroll, workforce management and talent management. </t>
  </si>
  <si>
    <t>3311 E OLD SHAKOPEE RD</t>
  </si>
  <si>
    <t>Fed-Ex</t>
  </si>
  <si>
    <t>FedEx has announced it will be hiring 400 more workers at its St. Paul operation, after a surge in demand during the COVID-19 crisis. It's looking for package handlers at its St. Paul warehouse, with pay starting at $16-per-hour.
Even though the company has had to reduce its overall delivery capacity due to a significant reduction of both passenger and cargo flights, its ground business is being boosted as more people stay at home and order online.</t>
  </si>
  <si>
    <t>https://bringmethenews.com/minnesota-news/fedex-to-hire-400-in-twin-cities-to-cope-with-coronavirus-demand</t>
  </si>
  <si>
    <t>7 Long Lake Road</t>
  </si>
  <si>
    <t>Minnesota Oncology</t>
  </si>
  <si>
    <t>Interior Remodel of clinic specializing in cancer care (per 2020-Q1 Coon Rapids building permits report)</t>
  </si>
  <si>
    <t>https://www.coonrapidsmn.gov/ArchiveCenter/ViewFile/Item/931</t>
  </si>
  <si>
    <t>City of Coon Rapids</t>
  </si>
  <si>
    <t>11850 Blackfoot St NW</t>
  </si>
  <si>
    <t>North Memorial Health</t>
  </si>
  <si>
    <t>Ryan Cos. and North Memorial Health are one step closer to breaking ground on the 100-acre Minnesota Health Village project in Maple Grove. The mixed-use development also involves Maple Grove Hospital getting either a direct expansion, smaller medical office buildings — which would serve in a supportive capacity — or both. In all, the development calls for 339,350 square feet for health care use and 302,400 square feet for medical office space. Phase one of the project is expected to break ground this fall or spring 2021.﻿</t>
  </si>
  <si>
    <t>HC, OF</t>
  </si>
  <si>
    <t>https://www.bizjournals.com/twincities/news/2020/03/31/ryan-north-memorial-lock-in-land-for-100-acre.html</t>
  </si>
  <si>
    <t>15800 Grove Cir N</t>
  </si>
  <si>
    <t>2020-Q2</t>
  </si>
  <si>
    <t>E-commerce company Proozy wants to hire at least 50 new employees for its Eagan fulfillment center so it can keep pace with growing demand from customers stuck at home due to the coronavirus pandemic. Proozy is an online retailer that sells discounted merchandise. It specializes in sportswear and sports equipment.
The company currently has 92 employees. Most of the new positions are fulfillment center associates.</t>
  </si>
  <si>
    <t>https://www.bizjournals.com/twincities/news/2020/04/01/e-commerce-site-wants-to-hire-dozens-because-of.html</t>
  </si>
  <si>
    <t>WestRock</t>
  </si>
  <si>
    <t>West Rock, a St. Cloud box-making plant lost significant revenue when Electrolux closed in November. The plant employs 110 people. The sales team went after food companies, a move that now has the plant looking to add people. The increase in food and consumer paper goods packaging needs during the coronavirus epidemic also is keeping revenue stable as the plant’s other business falls. WestRock also has pulp, paperboard or corrugated paper factories in Minneapolis, St. Paul, Fridley and Fargo.</t>
  </si>
  <si>
    <t>https://www.startribune.com/food-packaging-needs-because-of-coronavirus-keep-st-cloud-factory-strong/569411952/</t>
  </si>
  <si>
    <t>655 41st Ave N</t>
  </si>
  <si>
    <t>Maddy &amp; Maize</t>
  </si>
  <si>
    <t>Gourmet popcorn startup Maddy &amp; Maize has a new partnership with Edible Arrangements, based in Atlanta. The Minneapolis-based brand is now the sole popcorn provider for Edible Arrangements’ more than 1,200 U.S. locations.
The partnership provides a huge boost in exposure and requires a major ramp up in manufacturing, for the small company. They recently moved production to a manufacturing facility just outside of the Twin Cities and scaled up to a full-time staff of six.</t>
  </si>
  <si>
    <t>http://tcbmag.com/news/articles/2020/april/twin-cities-gourmet-popcorn-brand-pops-into-partnership-with-edible-arrangements</t>
  </si>
  <si>
    <t>4301 Minnesota Service Road 7, #120</t>
  </si>
  <si>
    <t>Chandler Industries</t>
  </si>
  <si>
    <t>Montevideo, Bethel, Long Prairie</t>
  </si>
  <si>
    <t>Chippewa</t>
  </si>
  <si>
    <t>Demand for medical ventilator components for those suffering from COVID-19 is driving new production at Chandler Industries facilities in Montevideo, Bethel and Long Prairie.
The company currently employs 250 workers in the states and is hiring during the pandemic due to the surge in need for medical parts. Chandler Industries anchored medical work for ventilators at their Montevideo facility in Chippewa County. 
“We saw demand increase 10 times the normal production,” Alder said.</t>
  </si>
  <si>
    <t>https://kstp.com/business/creating-jobs-during-covid-19-pandemic-in-smaller-minnesota-communities/5697899/</t>
  </si>
  <si>
    <t>KSTP</t>
  </si>
  <si>
    <t>1654 N 9th St</t>
  </si>
  <si>
    <t>Digital River</t>
  </si>
  <si>
    <t>E-commerce company Digital River 's private equity owner, Siris Capital Group, gave it an additional $50 million in February to hire new employees and acquire businesses. digital River performs back-end services for online retailers, and has 11 open jobs based out of its Minnetonka headquarters, said Becky Garroch, Digital River's vice president of human resources. It has hired eight people in Minnesota in the last three weeks.</t>
  </si>
  <si>
    <t>https://www.bizjournals.com/twincities/news/2020/04/10/for-tech-firms-still-hiring-slump-has-put-top.html</t>
  </si>
  <si>
    <t>10380 Bren Rd W</t>
  </si>
  <si>
    <t>Total Expert</t>
  </si>
  <si>
    <t>Saint Louis Park</t>
  </si>
  <si>
    <t>Total Expert has 17 jobs available on its website, which it still plans to fill; Total Expert raised $52 million in 2019.</t>
  </si>
  <si>
    <t>1600 Utica Ave S,</t>
  </si>
  <si>
    <t>Virgin Pulse</t>
  </si>
  <si>
    <t>Virgin Pulse broke into the Twin Cities market with the acquisition of Redbrick Health Corp. in 2018. The well-being and healthy habits software company is looking to hire for 12 positions, including software engineers and client services positions, for its Minneapolis office.</t>
  </si>
  <si>
    <t>510 S Marquette Ave #500,</t>
  </si>
  <si>
    <t>Global Glove &amp; Safety Manufacturing</t>
  </si>
  <si>
    <t>Global Glove &amp; Safety Manufacturing Inc. in Ramsey has acquired a second location in the city to provide additional warehouse space for its growing business.
The company closed April 9 on the acquisition of the vacant 61,654-square-foot warehouse, built in 1979 on a 3-acre site at 13601 Tungsten St. NW. The acquisition nearly doubles the space available for the company. The $2.5 million price works out to $40.55 per square foot.</t>
  </si>
  <si>
    <t>Apparel</t>
  </si>
  <si>
    <t>https://finance-commerce.com/2020/04/just-sold-safety-gear-maker-buys-second-warehouse/</t>
  </si>
  <si>
    <t>13601 Tungsten St. NW</t>
  </si>
  <si>
    <t>BCS Automotive Interface Solutions</t>
  </si>
  <si>
    <t>Deal to save 115 jobs at Winona’s BCS factory
After weighing whether to close the Winona factory and another plant in Auburn, N.Y., BCS leaders decided to keep the Winona factory open.  There will be temporary layoffs at the Winona factory this fall while the company moves its New York operations to Minnesota in late 2020 or early 2021. BCS makes automotive components. Winona's Port Authority plans to give BCS a $100,000 low-interest loan.
DEED Update: JCF $400K (7/29/20), MIF $600K (8/4/20)</t>
  </si>
  <si>
    <t>MFG</t>
  </si>
  <si>
    <t>http://www.winonapost.com/News/ArticleID/68761/Deal-to-save-115-jobs-at-Winonas-BCS-factory</t>
  </si>
  <si>
    <t>5676 Industrial Park Rd</t>
  </si>
  <si>
    <t>JCF ($400K), Winona Port Authority ($100K), MIF ($600K)</t>
  </si>
  <si>
    <t>Kurita</t>
  </si>
  <si>
    <t>Kurita America, a Japanese water-treatment manufacturer, is consolidating after several Minnesota acquisitions. Itsnew  156K SF headquarters will be at the 610 Zane Business Park in Brooklyn Park. Parent company is Tokyo-based Kurita Water Industries. Will have 84K SF production space and 72K SF of lab, training, office space. Will move about 190 employees to facility, coming from St. Michael, Tonka Water in Plymouth and Fremont Industries in Shakopee.  Room for up to 300 in the next 5-10 years.</t>
  </si>
  <si>
    <t>https://finance-commerce.com/2020/04/kurita-moving-to-brooklyn-park/</t>
  </si>
  <si>
    <t>x</t>
  </si>
  <si>
    <t>Legend Cabinetry, LLC</t>
  </si>
  <si>
    <t>Cottonwood</t>
  </si>
  <si>
    <t>Lyon</t>
  </si>
  <si>
    <t>MIF Award 2020-Q2. $400K MIF Award for expansion project that will cost $4.1 million and add 84 jobs 
City of Cottonwood Meeting: presented the application for the Minnesota Investment Fund on behalf of Legend Cabinetry. The application is for $400,000 in a forgivable loan to be used for the purchase of machinery and equipment. To meet criteria for MIF, need to create 84 jobs in two years with starting wage plus benefits at $15.00</t>
  </si>
  <si>
    <t>https://www.cityofcottonwoodmn.com/vertical/sites/%7BE0FDF809-1956-4DF5-8E65-A031493D88F5%7D/uploads/April_21_2020_Council_Minutes.pdf</t>
  </si>
  <si>
    <t>City Council meeting, DEED</t>
  </si>
  <si>
    <t>TreHus</t>
  </si>
  <si>
    <t xml:space="preserve">TreHus, a growing Minneapolis-based architectural, design and custom homebuilding company, paid $1.12 million for a 10K SF office at 4725 Olson Memorial Drive in Golden Valley, and sold its former office at 3017 Fourth Ave. S. The move means building out the lower level of the building for Alliance Home Health Care (a tenant) and creating a new TreHus headquarters on the upper level by the end of the year. The company now has about three dozen employees. </t>
  </si>
  <si>
    <t>https://finance-commerce.com/2020/04/just-sold-trehus-buys-bigger-office-in-golden-valley/</t>
  </si>
  <si>
    <t>4725 Olson Memorial Drive</t>
  </si>
  <si>
    <t>Branch</t>
  </si>
  <si>
    <t>Branch, a Minneapolis-based fintech startup, recently expanded its executive team, hiring its first chief financial officer and general counsel. Founded in 2015, Branch helps hourly workers get ahead financially by allowing them to receive money, manage cash flow and spend earnings from their smartphone.  Since the start of the COVID-19 outbreak, Branch has brought on over a dozen new team members and still has 2 open positions. The entire company is currently working remotely.</t>
  </si>
  <si>
    <t>https://www.americaninno.com/minne/inno-news-minne/fintech-startup-branch-grows-executive-team/</t>
  </si>
  <si>
    <t>American Inno</t>
  </si>
  <si>
    <t>301 S 4th Ave #960N</t>
  </si>
  <si>
    <t>St. Cloud-based Microbiologics is growing its staff and facility. Microbiologics provides ready-to-use microorganisms for quality control testing in several industries. 
Microbiologics expands R&amp;D space to support their move into working on personalized medicine. The new R&amp;D space can accommodate 20 people. With a little over 10 people in R&amp;D, hires are planned.
The company wants double in size within the next six years, which will require another expansion. Move-in is slated for May.</t>
  </si>
  <si>
    <t>R&amp;D</t>
  </si>
  <si>
    <t>https://www.sctimes.com/story/money/business/2020/05/01/microbiologics-expands-make-room-work-supporting-personalized-medicine-st-cloud/3039475001/?utm_source=sctimes-Daily%20Briefing&amp;utm_medium=email&amp;utm_campaign=daily_briefing&amp;utm_term=list_article_thumb</t>
  </si>
  <si>
    <t>Zipnosis</t>
  </si>
  <si>
    <t>Zipnosis creates white label telehealth software for health systems. Virtual visits soared to 412,500 in April, up 1,260% from a year ago. 
The majority of visits are through a virtual chatbot that records patients' symptoms and passes the information along to a doctor, who may follow up with a video visit. The chatbot is unique to Zipnosis. Zipnosis has added 11 employees in the past six weeks, reaching a total of 42. New hires are mostly in customer support.</t>
  </si>
  <si>
    <t>https://www.bizjournals.com/twincities/news/2020/05/07/zipnosis-hires-while-telehealth-visits-grow-by.html</t>
  </si>
  <si>
    <t>323 N Washington Ave #300</t>
  </si>
  <si>
    <t>Kindeva Drug Delivery (formerly 3M drug delivery unit)</t>
  </si>
  <si>
    <t>3M Co.'s former drug delivery business, renamed Kindeva Drug Delivery. Kindeva's products help patients take medication. Plan to hire 40-50 Minnesota employees in the "near-term" in R&amp;D, human resources, IT and finance.
Kindeva has 900 employees, including 200 in the Twin Cities, 500 in UK and 200 in California. Twin Cities staff currently work at 3M's campus in Maplewood. Kindeva HQ is planned in Woodbury (9/2020 update) in a building larger than 100K SF.
DEED Update: JCF $350K (9/21/20), MIF $515K (9/21/20)</t>
  </si>
  <si>
    <t>R&amp;D, OF</t>
  </si>
  <si>
    <t>https://www.bizjournals.com/twincities/news/2020/05/11/3m-drug-delivery-spinoff-seeking-workers-and-east.html</t>
  </si>
  <si>
    <t>11200 Hudson Rd</t>
  </si>
  <si>
    <t>JCF $350K (9/21/20), MIF $515K (9/21/20), IBDPI $475K</t>
  </si>
  <si>
    <t>Cirrus Aircraft</t>
  </si>
  <si>
    <t>Duluth Airport Authority, $250,000
Duluth Airport Authority will use the funds to assist in completion of the phase II rehabilitation of its 311 building. Cirrus Aircraft plans to expand their current manufacturing capacity in the building and create 25 full-time jobs. Total cost of phase II is expected to be $500,000.</t>
  </si>
  <si>
    <t>https://mn.gov/deed/newscenter/press-releases/?id=432987#/detail/appId/1/id/431748</t>
  </si>
  <si>
    <t>4515 Taylor Cir</t>
  </si>
  <si>
    <t>AIR</t>
  </si>
  <si>
    <t>Prairie Air</t>
  </si>
  <si>
    <t>Elbow Lake</t>
  </si>
  <si>
    <t>Elbow Lake, $250,000 AIR Grant (Airport Infrastructure Renewal)
This project will add a 4,800 square foot addition to an existing hanger. Prairie Air will use the hanger and plans to add five new full-time employees in the next five years. The total project cost is expected to be $610,000.</t>
  </si>
  <si>
    <t>FedEx Corp. is planning to nearly double the size of the its Lakeville FedEx Freight facility that it built in 2015. 
The Memphis-based delivery company received Planning Commission approvals last week for an 88,000-square-foot addition to its 93,600-square-foot warehouse located on a 46.5-acre parcel that is south of 215th St. W. and east of Dodd Boulevard, about two miles east of Interstate 35.</t>
  </si>
  <si>
    <t>https://www.bizjournals.com/twincities/news/2020/05/13/fedex-plans-expansion-of-lakeville-facility.html</t>
  </si>
  <si>
    <t>9331 217th St W</t>
  </si>
  <si>
    <t>TSI Inc</t>
  </si>
  <si>
    <t>Shoreview</t>
  </si>
  <si>
    <t>Tom Kennedy, president of TSI Inc., said production will be at maximum capacity for the rest of the year. Demand has increased nearly 4x for some of its key products such as: testers and sensors used to evaluate fit and performance of N95 respirators and sensors that monitor air flow in ventilators. Plans include more hiring and adding manufacturing equipment. TSI has 500 employees in Shoreview, and another 500 worldwide.</t>
  </si>
  <si>
    <t>http://strib.mn/3cj96AZ</t>
  </si>
  <si>
    <t>500 Cardigan Rd,</t>
  </si>
  <si>
    <t>Pace Dairy (Kroger Co)</t>
  </si>
  <si>
    <t>Pace Dairy in Rochester is owned by Kroger Company, a Fortune 20 company, headquartered out of Cincinnati, OH. They are looking at moving up a 2021 expansion project to add a shredded cheese line to the Kroger network and it came down to their Rochester, MN plant or Crawfordsville, IN plant. It is a $7.5M project, projected to create 20 new FTEs. Funds will renovate the building renovations and purchase new equipment.
Received $150K MIF Award, $175K JCF Award from DEED.</t>
  </si>
  <si>
    <t>http://rochestercitymn.iqm2.com/Citizens/Detail_Meeting.aspx?ID=3765</t>
  </si>
  <si>
    <t>2700 Valleyhigh Dr NW</t>
  </si>
  <si>
    <t>JCF ($175K), MIF ($150K), Local ED ($200K)</t>
  </si>
  <si>
    <t>Stitch Fix</t>
  </si>
  <si>
    <t xml:space="preserve">Stitch Fix is slashing its California-based personal-shopping stylists as it seeks to replace its workforce with employees in states with lower labor costs. The stylists help customers of the subscription-based service select clothing items to try, and customers are charged for the items they retain. Stitch Fix plans to rehire 2,000 stylists in lower-cost labor areas such as Dallas and Austin, Texas, Pittsburgh, Cleveland and Minneapolis starting in the summer and into the next year. </t>
  </si>
  <si>
    <t>https://www.bizjournals.com/twincities/news/2020/06/02/bay-area-personal-shopping-service-to-cut-1-400-em.html</t>
  </si>
  <si>
    <t>California</t>
  </si>
  <si>
    <t>Minnesota Oncology - Plastic Surgery Consultants</t>
  </si>
  <si>
    <t>Interior remodel per Bloomington building permit report June 2020.</t>
  </si>
  <si>
    <t>City of Bloomington</t>
  </si>
  <si>
    <t>7760 FRANCE AVE S</t>
  </si>
  <si>
    <t>St. Paul</t>
  </si>
  <si>
    <t xml:space="preserve">Duluth-based women's apparel retailer Maurices has confirmed it will open a technology center in the Osborn 370 tower. Maurices has signed a lease for 10,700 square feet — a full floor in the building — and plans to eventually have more than 30 employees and contractors in the space. The office will serve Maurices’ technology, analytics, security and development teams.  Maurices has its HQ in Duluth, 930 stores in in North America and a design office in New York City. </t>
  </si>
  <si>
    <t>https://www.bizjournals.com/twincities/news/2020/06/09/maurices-st-paul-tech-office-osborn-370-tower.html#:~:text=3%3A00pm%20CDT-,Downtown%20St.,in%20the%20Osborn%20370%20tower.&amp;text=The%20Osborn%20370%20building%20is,by%20PAK%20Properties%20of%20St.</t>
  </si>
  <si>
    <t>370 Wabasha St N,</t>
  </si>
  <si>
    <t>Central Logic</t>
  </si>
  <si>
    <t>Central Logic helps health systems and governments manage patient loads. Has leased a new 10,700 square feet office in the Osborn 370 tower. Led by CEO Angie Franks, a Twin Cities native, Central Logic is a growing health care software company from Utah.  The Twin Cities operations of 20 employees include remote workers and a handful in a coworking space. Central Logic will keep its Utah office. Employees total 80 people and growing, Planned growth will be in St. Paul — easily 40 or 50 employees, but likely more.</t>
  </si>
  <si>
    <t>https://www.bizjournals.com/twincities/news/2020/06/10/utah-health-tech-company-opening-st-paul.html#:~:text=A%20growing%20health%20care%20software,tower%20at%20370%20Wabasha%20St.</t>
  </si>
  <si>
    <t>Utah</t>
  </si>
  <si>
    <t>Radius Living Rx</t>
  </si>
  <si>
    <t>From JCF records: $175K award for project that will cost about $735,000 and add 50 jobs. No further information on business or expansion available.</t>
  </si>
  <si>
    <t>DEED (no other info)</t>
  </si>
  <si>
    <t>Swift Pork  (JBS)</t>
  </si>
  <si>
    <t>Worthington</t>
  </si>
  <si>
    <t>Nobles</t>
  </si>
  <si>
    <t>Swift Pork Company, owned by JBS USA Holdings Inc., proposes to build an estimated 175,000- to 200,000-square-foot  $30 million freezer warehouse facility, which would create approximately 70 new jobs ranging from $17.05 to $21.30 per hour, plus benefits. The expansion could store up to 25 million pounds of frozen product and 2.5 million pounds of fresh product, increasing the plant’s overall production capacity. 
update: JCF award $175K (7/17/20), MIF $450 (7/17/20)</t>
  </si>
  <si>
    <t>https://www.dglobe.com/news/government-and-politics/6528105-Council-approves-resolutions-for-JBS-freezer-facility-plan</t>
  </si>
  <si>
    <t>1700 MN-60</t>
  </si>
  <si>
    <t>JCF $175K, MIF $450K</t>
  </si>
  <si>
    <t>Hunt Electric Corporation</t>
  </si>
  <si>
    <t>Interior remodel per Bloomington building permit report June 2020.. Installation of a 560KWp roof mounted solar array</t>
  </si>
  <si>
    <t>Electrical Contractor</t>
  </si>
  <si>
    <t>7900 CHICAGO AVE S</t>
  </si>
  <si>
    <t>Wipfli</t>
  </si>
  <si>
    <t>Accounting firm Wiplfi LLP will consolidate its two suburban offices in Edina and Lake Elmo into a single office in downtown Minneapolis. Has leased 32,500 square feet in Fifth Street Towers to accommodate Wipfli’s 185-plus Twin Cities employees.  Wipfli’s new office will be in the 150 Tower on the 19th and 20th floors.  Wipfli is scheduled to move in November although Covid-19 may still be a concern. Wipfli is an accounting and business consulting firm.</t>
  </si>
  <si>
    <t>https://www.bizjournals.com/twincities/news/2020/06/15/wiplfi-moving-from-edina-lake-elmo-to-minneapolis.html</t>
  </si>
  <si>
    <t>100 S 5th St</t>
  </si>
  <si>
    <t>Wisconsin</t>
  </si>
  <si>
    <t>Xcel</t>
  </si>
  <si>
    <t>Becker, various</t>
  </si>
  <si>
    <t>Xcel Energy plans to spend $3 billion on accelerated projects in Minnesota, including sizable solar and wind-power investments, in an effort to help lift the state's economy. Xcel's proposal includes at least $1 billion to repower four wind farms — a task that the company had previously scheduled over the next decade. It also plans to move ahead on a $650 million, 450MW solar plant in Becker; the solar array could be running by 2023. Projects would create about 5,000 jobs.</t>
  </si>
  <si>
    <t>Renewable</t>
  </si>
  <si>
    <t>Energy</t>
  </si>
  <si>
    <t>https://www.bizjournals.com/twincities/news/2020/06/18/xcel-3b-renewable-energy-projects-minnesota.html</t>
  </si>
  <si>
    <t>Buhler</t>
  </si>
  <si>
    <t>Bühler has opened its new Food Application Center (FAC) as the crowning moment of Bühler GO! 2020, its virtual networking and engagement event for food industry leaders. At this state-of-the-art center, Bühler aims to support and drive innovation  to create economically viable and sustainable food value chains in North America.  The investment reinforces Bühler's commitment to new and innovative approaches to education and workforce development.</t>
  </si>
  <si>
    <t>https://www.buhlergroup.com/content/buhlergroup/global/en/media/media-releases/buehler_opens_newfoodapplicationcenterascollaborationvenueforcre.html</t>
  </si>
  <si>
    <t>Company Website</t>
  </si>
  <si>
    <t>13105 12th Ave N</t>
  </si>
  <si>
    <t>Buhler Group</t>
  </si>
  <si>
    <t>Interior remodel per Bloomington building permit report June 2020.. Remodel of an existing cafeteria for Ziegler/CAT</t>
  </si>
  <si>
    <t>901 W 94TH ST</t>
  </si>
  <si>
    <t>CNA Insurance</t>
  </si>
  <si>
    <t>Interior remodel per Bloomington building permit report June 2020. CNA Insurance - long term care insurance provider</t>
  </si>
  <si>
    <t>Greystone Construction</t>
  </si>
  <si>
    <t>Greystone Construction, a general contractor with projects in more than 27 states, plans to break ground on its new 26,000 SF headquarters at Canterbury Commons this fall and expects to occupy the building in 2021. Growth has “dictated the need” for the company’s new corporate space. Greystone will build a two-story, 26,000-square-foot office building, the top floor will serve as the company's new headquarters. (First floor will be rented out.)</t>
  </si>
  <si>
    <t>HQ</t>
  </si>
  <si>
    <t>https://finance-commerce.com/2020/06/greystone-to-build-new-hq-at-canterbury-commons/</t>
  </si>
  <si>
    <t>500 S, Marschall Rd #300</t>
  </si>
  <si>
    <t>IDeaS</t>
  </si>
  <si>
    <t>Interior remodel per Bloomington building permit report June 2020. IDeaS (Integrated Decisions &amp; Solutions. SAS company. IDeaS revenue management solutions enhance your profitability using revenue science.</t>
  </si>
  <si>
    <t>Yukon Partners</t>
  </si>
  <si>
    <t>Interior remodel per Bloomington building permit report June 2020. Yukon Partners is a capital management firm.</t>
  </si>
  <si>
    <t>8300 NORMAN CENTER DR</t>
  </si>
  <si>
    <t>Jennie-O Turkey Store</t>
  </si>
  <si>
    <t>Jennie-O Turkey Store announced Friday in a news release that it is hiring 95 additional employees for its food production facilities based in Willmar. The company also announced that for a limited time, new hires can earn up to a $2,000 signing bonus.</t>
  </si>
  <si>
    <t>https://www.newsbreak.com/minnesota/willmar/news/1593016537763/jennie-o-turkey-store-hiring-95-additional-employees-offering-signing-bonuses</t>
  </si>
  <si>
    <t>News Break</t>
  </si>
  <si>
    <t>2505 Willmar Ave SW,</t>
  </si>
  <si>
    <t>Mercy Healthcare Center</t>
  </si>
  <si>
    <t>Interior Remodel for medical office relocation at 3960 Coon Rapids Blvd Suites 200-220 (per 2020-Q2 Coon Rapids building permits report). Per Google,this is the Mercy Healthcare Center, and per leasing brochure from July 2019, Suites 200-220 represents the 2nd floor basically.</t>
  </si>
  <si>
    <t>https://www.coonrapidsmn.gov/ArchiveCenter/ViewFile/Item/951</t>
  </si>
  <si>
    <t>3960 Coon Rapids Blvd</t>
  </si>
  <si>
    <t>2020-Q3</t>
  </si>
  <si>
    <t>Logistics tech startup Dispatch has raised an $11.15 million Series B funding round.  Plans to hire more employees and expand to new markets. Dispatch provides on-demand logistics support for companies that need to deliver products like construction supplies or plumbing equipment to construction sites or other businesses. It relies on contracted drivers and has 107 employees. Dispatch hopes to grow its product and engineering teams to between double and triple their current size,</t>
  </si>
  <si>
    <t>https://www.bizjournals.com/twincities/news/2020/07/01/dispatch-raises-11-million.html</t>
  </si>
  <si>
    <t>Royal Pet</t>
  </si>
  <si>
    <t>Hastings</t>
  </si>
  <si>
    <t>A South St. Paul company that’s grown from a small producer of cat litter pan liners and related products to a global maker of animal treats and supplies is moving to a vacant industrial building it has bought at 1100 Spiral Blvd. in Hastings.</t>
  </si>
  <si>
    <t>https://finance-commerce.com/2020/07/just-sold-royal-pet-pays-3-2-million-for-hastings-plant/</t>
  </si>
  <si>
    <t>1100 Spiral Blvd</t>
  </si>
  <si>
    <t>Sylva Corporation</t>
  </si>
  <si>
    <t>Princeton</t>
  </si>
  <si>
    <t>Princeton was awarded a BDPI grant of  $310,000 to assist with the extension of 19th Avenue and utilities extensions to serve the expansion of Sylva Corporation, Inc.. Sylva is a supplier of mulch and wood chips. The project will retain 32 jobs and create 50 new jobs.</t>
  </si>
  <si>
    <t>https://mn.gov/deed/newscenter/press-releases/#/detail/appId/1/id/439491</t>
  </si>
  <si>
    <t>900 Airport Rd</t>
  </si>
  <si>
    <t>Pequot Lakes</t>
  </si>
  <si>
    <t>Pequot Lakes was awarded a BDPI grant of $164,700 to assist with the construction of a new street and utilities for a new industrial park that will serve two lots. Xcel Energy will be investing $4 million for a new warehouse, garage and offices. The project will retain 15 jobs and create 17 new jobs.</t>
  </si>
  <si>
    <t>WH, OF</t>
  </si>
  <si>
    <t>Revol Greens is in the final stages of expanding its greenhouse to 10 acres, from an initial 2.5 acres. Owatonna-based Revol Greens is just weeks from completing an expansion that will quadruple production to more than 4 million pounds of hydroponic baby greens per year. In early June, Revol Greens entered a distribution agreement with Walmart. Revol Greens now has a workforce of between 50 and 60 employees in Medford, having added about 10 to 15 employees since work began on the expansion.</t>
  </si>
  <si>
    <t>https://www.bizjournals.com/twincities/news/2020/07/10/revol-greens-expands-medford-greenhouse.html?ana=e_me_prem&amp;j=90518469&amp;t=Morning&amp;mkt_tok=eyJpIjoiTlRaaFl6TXpPRFE0TURFNSIsInQiOiIwcHp6bVwvelhlTFwvZzdzYUtEUmdpeWZMaEpcL2YwTWF6VXJtZHlRTlwvRnVZSXZFeGMrZjlwNXJySEJoaFFDekRRUEV5S3VaQTRZSUVIXC9Qc2hGWk5rYXlPUXp0N2FhVVk4aFN3NDVXVUIxeHB4WXBRdUM1a2RCTE4rSWdsb0V1Z2x4In0%3D</t>
  </si>
  <si>
    <t>Metro Storage</t>
  </si>
  <si>
    <t>Metro Storage is building its ninth Twin Cities storage facility in Coon Rapids. Expect structure to be completed next year. The $9-$10 million project involves building a three-story self-storage facility there that will have about 130,000 square feet of space for 908 units. 
The 47-year-old Metro Storage separately operates 125 facilities in at least 12 states. Its Minnesota operations are in Bloomington, Maple Grove, Mound, Orono, Blaine, Burnsville, Mendota Heights and Eden Prairie.</t>
  </si>
  <si>
    <t>Real Estate</t>
  </si>
  <si>
    <t>https://www.startribune.com/metro-storage-to-build-908-unit-facility-in-coon-rapids/571750032/</t>
  </si>
  <si>
    <t>3021 124th Avenue</t>
  </si>
  <si>
    <t>Sezzle Inc. has raised $55 million through an institutional placement.
Sezzle is a Minneapolis-based financial-technology company that provides a payment installment option for online retailers. It went public on the Australian Securities Exchange last year. If the funds raised, $14 million will allow Sezzle to hire new developers and build out its software capabilities, $11 million will fund expansion into Canada and other potential markets.</t>
  </si>
  <si>
    <t>https://www.bizjournals.com/twincities/news/2020/07/14/sezzle-raises-55-million-from-its-institutional.html</t>
  </si>
  <si>
    <t>251 N 1st Ave</t>
  </si>
  <si>
    <t>Best Buy</t>
  </si>
  <si>
    <t>Interior remodel per Bloomington building permit report July 2020. The project is a reconfiguration/remodeling of an existing 581,667 SF Best Buy Supply Chain Facility. The scope of work for Civil is new drive at northeast east entrance and reconfigured parking (separate parking lot permit). Architectural scope of work, new interior walls, ceiling, finishes, offices and toilets. Structural scope of work, new exterior overhead doors and loading dock.</t>
  </si>
  <si>
    <t>6203 W 111TH ST, BLOOMINGTON, MN 55438</t>
  </si>
  <si>
    <t>Feldmann Imports Mercedes-Benz</t>
  </si>
  <si>
    <t>Per Bloomington building permit report July 2020. Car dealership. DEMOLISH THE EXISTING SHOWROOM AND OFFICE MEZZANINE AREAS. CONSTRUCT A NEW TWO STORY SHOWROOM, WITH AN OFFICE AREA LOCATED IN THE MEZZANINE AREA.</t>
  </si>
  <si>
    <t>OF, RET</t>
  </si>
  <si>
    <t>4901 AMERICAN BLVD W, BLOOMINGTON, MN 55437</t>
  </si>
  <si>
    <t>Duluth City Council approves $1.3M tax abatement for Costco. St. Louis County could grant the retailer an additional $650K tax abatement to help fund improvements to public infrastructure. Once the 161,000 SF store is built, the property will have an estimated market value of $11.2 million, ratcheting up its property tax capacity. Expected to create 75 PT and 75 FT jobs. Construction is expected to start this fall and finish in 2021.
Costco is prepared to invest about $40 million in Duluth.</t>
  </si>
  <si>
    <t>WH, RET</t>
  </si>
  <si>
    <t>https://www.startribune.com/duluth-city-council-approves-1-3m-tax-abatement-for-costco/571842641/</t>
  </si>
  <si>
    <t>4285 Haines Road</t>
  </si>
  <si>
    <t>ED</t>
  </si>
  <si>
    <t>Oddson Underground Inc</t>
  </si>
  <si>
    <t xml:space="preserve">Windom </t>
  </si>
  <si>
    <t>Oddson Underground, a drilling contractor, is considering a new office addition. A new addition would be a sizeable project at 36' by 92'. Project will help to retain existing employees and possibly add up to an additional 30 new employees. Oddson Underground has requested assistance with the expenses for moving the water hydrant tofacilitate their office addition project. 
DEED update: JCF Award $100,000 9/25</t>
  </si>
  <si>
    <t>https://windom-mn.com/wp-content/uploads/2020/07/August-4-2020.pdf</t>
  </si>
  <si>
    <t>City of Windom</t>
  </si>
  <si>
    <t>50 16th St</t>
  </si>
  <si>
    <t xml:space="preserve"> $                   100,000.00 </t>
  </si>
  <si>
    <t>Avtex</t>
  </si>
  <si>
    <t>Interior remodel per Bloomington building permit report July 2020. Avtex is a business consultant on customer experience strategy.</t>
  </si>
  <si>
    <t>3500 AMERICAN BLVD W, BLOOMINGTON, MN 55431</t>
  </si>
  <si>
    <t>Glamos Wire</t>
  </si>
  <si>
    <t>Lino Lakes</t>
  </si>
  <si>
    <t xml:space="preserve">A growing wire products maker has moved from leased space in Hugo to a larger, $4.55 million building it has acquired at 2300 Main St. in Lino Lakes. </t>
  </si>
  <si>
    <t>https://finance-commerce.com/2020/07/just-sold-hugo-wire-company-moves-to-lino-lakes/</t>
  </si>
  <si>
    <t>2300 Main St.</t>
  </si>
  <si>
    <t>Eagan-based Proozy.com has built as an e-commerce clearance store for excess, unsold inventory.  Sales are up 400 to 500%, which means Proozy will likely end next year with $140 million in sales. Proozy is looking to expand in the Edina area. The 65,000-square-foot location would house more warehouse space but also be a step similar to those taken by Amazon and other successful e-commerce businesses — a clicks-to-bricks retail store.
Segal hopes to have it open by the holidays.</t>
  </si>
  <si>
    <t>https://www.startribune.com/with-switch-to-quarantine-style-twin-cities-retailers-left-with-unsold-clothes/571896912/</t>
  </si>
  <si>
    <t>Eastman Kodak</t>
  </si>
  <si>
    <t xml:space="preserve">Eastman Kodak will receive a federal loan of $765 million to help reduce the country's reliance on other countries for ingredients used in generic drugs. The plan is to create a Kodak Pharmaceuticals division, adding 300 jobs in Rochester, N.Y., and 30 to 60 jobs in St. Paul. </t>
  </si>
  <si>
    <t>https://www.startribune.com/kodak-expansion-fueled-by-765m-federal-loan-could-mean-60-jobs-in-st-paul/571933392/</t>
  </si>
  <si>
    <t>Federal loan</t>
  </si>
  <si>
    <t>TechMate</t>
  </si>
  <si>
    <t>Techmate, a New York and Kansas City-based startup offering a SaaS platform for on-demand tech support, has raised $1.2 million and announced plans to further expand its presence throughout the Midwest.Techmate currently has technicians and clients in several other Midwest cities, including Minneapolis.
Techmate plans to expand its team, mostly  in the Midwest. The company is hiring a sales director and will soon hire an engineering team.</t>
  </si>
  <si>
    <t>https://www.americaninno.com/minne/inno-news-minne/after-receiving-local-backing-techmate-plans-midwest-expansion/?mc_cid=1ead4f79cb&amp;mc_eid=f9b059d709</t>
  </si>
  <si>
    <t>Retail Tech</t>
  </si>
  <si>
    <t>Retail Tech Inc., a maker and supplier of retail point of sale store fixtures and equipment, has moved to its newly-completed 190,000-square-foot building at 8600 Shelby Court in Chanhassen. Now it has sold the 60,982-square-foot building it outgrew at 1501 Park Road in Chanhassen to a new user from Chaska for $3.57 million.</t>
  </si>
  <si>
    <t>MFG, WH</t>
  </si>
  <si>
    <t>https://finance-commerce.com/2020/07/just-sold-retail-tech-finishes-new-building-sells-old-one/</t>
  </si>
  <si>
    <t>8600 Shelby Court</t>
  </si>
  <si>
    <t>2020 Best Places to Work: Category: Medium - #2 Arctic Wolf Networks Inc How many jobs do you have open, and where do you post your job openings? 68 – www.arcticwolf.com/careers</t>
  </si>
  <si>
    <t>https://www.bizjournals.com/twincities/news/2020/08/05/best-places-to-work-2020-arctic-wolf.html</t>
  </si>
  <si>
    <t>8939 Columbine Rd Suite 150,</t>
  </si>
  <si>
    <t>2020 Best Places to Work: Category: Medium - #10 Lockton Cos.. How many jobs do you have open, and where do you post your job openings? In Minneapolis alone we have nearly 10 open positions.</t>
  </si>
  <si>
    <t>https://www.bizjournals.com/twincities/news/2020/08/05/best-places-to-work-2020-lockton-cos.html</t>
  </si>
  <si>
    <t>5500 Wayzata Blvd</t>
  </si>
  <si>
    <t>Nerdery</t>
  </si>
  <si>
    <t>Digital consultancy Nerdery inked a deal earlier this year for 65,000 square feet of space at 7700 France Avenue in Edina. Nerdery will relocate from a Bloomington industrial park to its new space in September.
The deal is the largest office lease signed this year in the Twin Cities office market. Minneapolis-based Studio KKChong designed the buildout of the new space</t>
  </si>
  <si>
    <t>https://tcbmag.com/nerdery-set-for-move-to-edina/</t>
  </si>
  <si>
    <t>7700 France Ave</t>
  </si>
  <si>
    <t>2020 Best Places to Work: Category: Medium - #1 phData. How many jobs do you have open, and where do you post your job openings? We currently have seven different profiles open between our U.S. and India locations; however, we'll typically hire multiple candidates for each of the core technical positions (senior data engineer, machine learning engineer and solutions architect). We post jobs via our website, as well as on LinkedIn.</t>
  </si>
  <si>
    <t>https://www.bizjournals.com/twincities/news/2020/08/05/best-places-to-work-2020-phdata.html</t>
  </si>
  <si>
    <t>400 S 4th St #401</t>
  </si>
  <si>
    <t>Ameriprise Financial</t>
  </si>
  <si>
    <t>2020 Best Places to Work, Category: Large: How many jobs do you have open? As of June 17, we have 83 jobs available for application in the U.S.</t>
  </si>
  <si>
    <t>Finance</t>
  </si>
  <si>
    <t>https://www.bizjournals.com/twincities/news/2020/08/06/best-places-to-work-2020-ameriprise-financial.html</t>
  </si>
  <si>
    <t>901 3rd Ave S</t>
  </si>
  <si>
    <t>2020 Best Places to Work, Category: Large: How many jobs do you have open?  We have 64 job openings as of June 18.</t>
  </si>
  <si>
    <t>https://www.bizjournals.com/twincities/news/2020/08/06/best-places-to-work-2020-rbc-wealth-management.html</t>
  </si>
  <si>
    <t>60 South 6th St</t>
  </si>
  <si>
    <t>2020 Best Places to Work, Category: Large: How many jobs do you have open?  We currently only have seven open positions, but look forward to opening that up more as we progress through the pandemic.</t>
  </si>
  <si>
    <t>https://www.bizjournals.com/twincities/news/2020/08/06/best-places-to-work-2020-sageglass.html</t>
  </si>
  <si>
    <t>2 Sage Way</t>
  </si>
  <si>
    <t>2020 Best Places to Work, Category: Large: How many jobs do you have open? We currently have 43 job openings</t>
  </si>
  <si>
    <t>https://www.bizjournals.com/twincities/news/2020/08/06/best-places-to-work-2020-tpi-hospitality.html</t>
  </si>
  <si>
    <t>103 15th Ave NW</t>
  </si>
  <si>
    <t>US Army Corps of Engineers</t>
  </si>
  <si>
    <t>US Army Corps is relocating its offices within downtown St. Paul and has signed a lease for 80,000 square feet in the building that will make the U.S. Army Corps the second-largest tenant in the property. The move will include a $10 million buildout on floors 7 through 15. The Corps which will move about 300 people to the First National Bank building.</t>
  </si>
  <si>
    <t>Military</t>
  </si>
  <si>
    <t>https://www.bizjournals.com/twincities/news/2020/08/10/us-army-corps-of-engineers-first-national-bank.html</t>
  </si>
  <si>
    <t>332 Minnesota St</t>
  </si>
  <si>
    <t>Woodchuck USA</t>
  </si>
  <si>
    <t xml:space="preserve">How much wood does Woodchuck USA chuck to make its unique line of gifts?
Enough that founder and CEO Ben VandenWymelenberg is moving it out of its startup space in former Ry-Krisp factory in Minneapolis and buying a larger plant in St. Paul.
Woodchuck Industrial LLC, an entity related to the wood crafter, closed Aug. 5 on the $3.075 million acquisition of the 50,056-square-foot Class C industrial building at 274 Fillmore Ave. E. </t>
  </si>
  <si>
    <t>HQ, MFG</t>
  </si>
  <si>
    <t>https://finance-commerce.com/2020/08/just-sold-woodchuck-usa-buys-vomelas-former-hq/</t>
  </si>
  <si>
    <t>274 Fillmore Ave. E</t>
  </si>
  <si>
    <t>Bind Benefits</t>
  </si>
  <si>
    <t>Health insurance startup Bind Benefits Inc. has hired around 100 people during the summer — significantly more than expected.
In April, Bind expected to hire between 50 and 80 employees during the summer. In fact, Bind hired and onboarded 100, including 30 new employees and 70 full-time contractors, bringing Bind's total headcount to 350. Bind is still hiring. Bind contracts with employers to offer "on-demand" insurance to employees: members pay only for procedures that they need.</t>
  </si>
  <si>
    <t>https://www.bizjournals.com/twincities/news/2020/08/14/bind-benefits-insurance-enrollment-period-double.html</t>
  </si>
  <si>
    <t>3033 Excelsior Blvd</t>
  </si>
  <si>
    <t>DI Labs</t>
  </si>
  <si>
    <t>DI Labs began in 2013 in Spicer, but as their 3-D printing equipment evolved, the business they outgrew their space. The new, larger location in Willmar has been fully operating for a month. Cutting-edge technology was used to respond to a shortage of medical equipment caused by COVID-19, including printing face shields that fit over a hard hat. At the heart of the 20,000-square-foot building designs are developed by the engineering team and produced by about 25 different 3-D printers in spotless rooms.</t>
  </si>
  <si>
    <t>HQ, MFG, R&amp;D</t>
  </si>
  <si>
    <t>https://www.duluthnewstribune.com/business/manufacturing/6624259-Minnesota-company-could-be-game-changer-in-digital-manufacturing</t>
  </si>
  <si>
    <t>1740 45th St SE</t>
  </si>
  <si>
    <t>Thermo-King</t>
  </si>
  <si>
    <t>August building permit report by Bloomington. Office renovation of a select portion of Thermo King's office.</t>
  </si>
  <si>
    <t>314 W 90TH ST, BLOOMINGTON, MN 55420</t>
  </si>
  <si>
    <t>Bridgewater Bank</t>
  </si>
  <si>
    <t>St. Louis Park</t>
  </si>
  <si>
    <t xml:space="preserve">Bridgewater Bancshares, long based in Bloomington, is now headquartered in St. Louis Park. The bank officially opened its new headquarters Monday at 4450 Excelsior Blvd. The building is roughly 84,000 square feet and cost about $40 million to develop, said CEO Jerry Baack. The space will house around 100 of Bridgewater's employees with space for another 150 more if it becomes necessary. </t>
  </si>
  <si>
    <t>https://www.bizjournals.com/twincities/news/2020/08/24/bremer-bank-opens-new-headquarters-in-st-louis-pa.html</t>
  </si>
  <si>
    <t>4450 Excelsior Blvd UNIT 100,</t>
  </si>
  <si>
    <t>Richfield, various in US</t>
  </si>
  <si>
    <t>Best Buy plans on hiring more than 1,000 new tech employees in the next two years — and 30% will be people of color or women. The new hiring plan includes engineers and product managers, and is one of several steps to address disparities within the tech industry. Best Buy has brought about two-thirds of 51,000 employees furloughed in spring, back to work. Its new hires will extend beyond the Twin Cities to also include remote, full-time opportunities outside of MN.</t>
  </si>
  <si>
    <t>https://www.startribune.com/best-buy-says-30-of-1-000-new-tech-hires-will-be-people-of-color-or-women/572253542/</t>
  </si>
  <si>
    <t>7601 Penn Ave S,</t>
  </si>
  <si>
    <t>Ear Nose &amp; Throat Specialty Care</t>
  </si>
  <si>
    <t>Ear Nose &amp; Throat Specialty Care (ENT) will take most of the second floor of the 3-story Xchange Medical building being constructed by real estate firm Davis. Davis breaks ground next month on a 78,000-square-foot medical office building in St. Louis Park.  In the new office, ENT will consolidate its several speciality services around the metro.
Construction, which is expected to cost $20 million for the building shell and two tenant finishes, should be wrapped up by November 2021.</t>
  </si>
  <si>
    <t>https://www.bizjournals.com/twincities/news/2020/09/03/davis-medical-office-stlouispark-groundbreaking.html</t>
  </si>
  <si>
    <t>6111 Wayzata Blvd</t>
  </si>
  <si>
    <t>Surgical Care Affiliates</t>
  </si>
  <si>
    <t>Surgical Care Affiliates is taking the the top floor of the three-story Xchange Medical building for a surgery center being constructed by real estate firm Davis. Davis breaks ground next month on a 78,000-square-foot medical office building in St. Louis Park. The  SCA has 210 surgical facilities, including one in Davis’s building in Maplewood.  
Construction, which is expected to cost $20 million for the building shell and two tenant finishes, should be wrapped up by November 2021.</t>
  </si>
  <si>
    <t>Cargill Meat Solutions Corporation</t>
  </si>
  <si>
    <t>Cargill Meat Solutions has plans to invest approximately $25 million into their existing Albert Lea location to diversify and expand product offerings. The upgrades will result in an increase in local tax dollars as well as additional jobs. 
DEED Update: JCF $175K , 9/25/20</t>
  </si>
  <si>
    <t>https://www.cityofalbertlea.org/september-14-2020/</t>
  </si>
  <si>
    <t>City of Albert Lea</t>
  </si>
  <si>
    <t>702 E 13th St,</t>
  </si>
  <si>
    <t xml:space="preserve">$                   175,000.00 </t>
  </si>
  <si>
    <t>Deluxe</t>
  </si>
  <si>
    <t>Deluxe Corp. has signed a lease for 94,000 square feet to relocate its headquarters from Shoreview to downtown Minneapolis. 538 employees could move downtown when the space is ready in the fall of 2021.`
The business-technology company is building out a new headquarters inside of the 801 Marquette building. Deluxe signed a 16-year lease to occupy the top two floors of the building as well as one in the connected tower, which will be accessed through a new, private elevator.
DEED Update: 9/4/20 $1M MIF</t>
  </si>
  <si>
    <t>https://tcbmag.com/deluxe-corp-moving-hq-to-downtown-minneapolis/</t>
  </si>
  <si>
    <t>801 Marquette</t>
  </si>
  <si>
    <t>MIF?</t>
  </si>
  <si>
    <t>Ecolab</t>
  </si>
  <si>
    <t>Ecolab has been in Eagan since 1969. Its Global Research, Development and Engineering Center opened in Eagan in 2005 and is its main hub of innovation. 
The proposed project creates a new Pilot Plant and Prototype Lab at an existing 22,065 SF leased space. The project will create 14 new full-time jobs paying at an average $75,000 or more and invest a $3.9 million capital investment. Assistance from the JCF program will play a role in the decision where to implement the project (Eagan vs. Georgia).
DEED. JCF Award $165,000. 14 new jobs paying average wages of $36.64/hr.</t>
  </si>
  <si>
    <t>https://eagan.granicus.com/MetaViewer.php?view_id=8&amp;clip_id=2074&amp;meta_id=109209</t>
  </si>
  <si>
    <t>City of Eagan, DEED</t>
  </si>
  <si>
    <t>655 Lone Oak Dr</t>
  </si>
  <si>
    <t>Vireo Health of Minnesota (Green Goods) - formerly Minnesota Medical Solutions</t>
  </si>
  <si>
    <t>Moorhead</t>
  </si>
  <si>
    <t>Vireo's existing cannabis patient centers in Minneapolis, Bloomington, Rochester and Moorhead are being renovated to create a best-in-class patient experience. The company is also opening two new locations in Blaine and Hermantown by November, with a location in Burnsville and Woodbury expected to open by the end of the year.
The new locations will serve large population centers that don't have immediate access to medicinal cannabis, said Vireo Health CEO and Founder Dr. Kyle Kingsley.</t>
  </si>
  <si>
    <t>https://www.bizjournals.com/twincities/news/2020/09/15/minnesota-medical-solutions-rebrands-to.html</t>
  </si>
  <si>
    <t>Vireo Health International</t>
  </si>
  <si>
    <t>Vancouver</t>
  </si>
  <si>
    <t>British Columbia</t>
  </si>
  <si>
    <t>Trelleborg Healthcare &amp; Medical (Formerly Sil-Pro)</t>
  </si>
  <si>
    <t>Delano</t>
  </si>
  <si>
    <t>Trelleborg Healthcare &amp; Medical recently announced that it has completed an expansion at its Delano, Minn.–based manufacturing facility. The expansion includes a 6,000-ft2 ISO Class 7 cleanroom and enhanced silicone molding and contract manufacturing capabilities.
The expansion is a response to increased demand that Trelleborg has been seeing for silicone-molded components.Trelleborg acquired the facility through its purchase of Sil-Pro in early 2019. Sweden-based Trelleborg was acquired by Japan-based Yokohama Rubber in 2022.</t>
  </si>
  <si>
    <t>https://www.tss.trelleborg.com/en/news-and-events/news/trelleborg-expands-silicone-molding-capacity-at-delano</t>
  </si>
  <si>
    <t>Company website</t>
  </si>
  <si>
    <t>740 7th St S</t>
  </si>
  <si>
    <t>Trelleborg Healthcare &amp; Medical</t>
  </si>
  <si>
    <t>Sweden</t>
  </si>
  <si>
    <t>Fulcrum (Fulcrumpro Inc)</t>
  </si>
  <si>
    <t>Fulcrumpro Inc., a Minneapolis-based software-as-a-service company that supports the supply chains of manufacturing companies, has raised a $3.1 million seed round. This is Fulcrum's first outside investment. It has 15 employees and hopes to use the new capital to hire 20 more in the next year, specifically in sales and marketing positions.  Fulcrum recently participated in this year’s Minnesota Cup. and was the runner-up in the high tech division ($5,000 cash prize).</t>
  </si>
  <si>
    <t>https://www.bizjournals.com/twincities/news/2020/09/25/fulcrum-raises-seed-round-matchstick-bread-butter.html?ana=e_ae_prem&amp;j=90530094&amp;t=Afternoon&amp;mkt_tok=eyJpIjoiWmpOaU56Rm1aVFpsWXprMyIsInQiOiJHcmt6MllIVmlNU3pwNlVKUlRPY1E0ZlJ1WDZaNWtoUm0yUUhjMjBtMnd0eWRNaDQwWW9jVHFTSE43ckw3V3JnMHRaQ1NkVDB4bnRFSGJNOWZneThwYmJ5Y1hkM3hsM2RZbHl4eVJKUmZLQ1h0T2Y5S3VWZGZvaHFyNUNMMHJ3dCtYZ3I4dHVlQWJnVEM4OGRTXC9FVjBBPT0ifQ==</t>
  </si>
  <si>
    <t>730 2nd Ave S UNIT 840</t>
  </si>
  <si>
    <t>JD Woodcraft</t>
  </si>
  <si>
    <t>JD Woodcraft was issued a building permit in September 2020 for the construction of an 18,288-square-foot addition and parking lot. The existing facility is 30,000 square feet and is located at
21044 Heron Way.</t>
  </si>
  <si>
    <t>https://www.lakevillemn.gov/ArchiveCenter/ViewFile/Item/1015</t>
  </si>
  <si>
    <t>Thrive! Lakeville Business Update 1/2021</t>
  </si>
  <si>
    <t>21044 Heron Way</t>
  </si>
  <si>
    <t>2020-Q4</t>
  </si>
  <si>
    <t>Siteimprove</t>
  </si>
  <si>
    <t xml:space="preserve">Interior tenant improvement on floors 1, 4 and 5. Siteimprove is a SaaS solution that helps organizations achieve their digital potential by empowering teams with actionable insights to deliver a superior website experience and drive growth. Siteimprove offers one suite for improving your website through SEO, Analytics, Accessibility, Data Privacy, and Content Quality. </t>
  </si>
  <si>
    <t>5600 W 83RD ST</t>
  </si>
  <si>
    <t>Shipt (Target)</t>
  </si>
  <si>
    <t xml:space="preserve">Shipt, the same-day delivery service owned by Target Corp., plans to add another 100,000 workers to its network of freelance shoppers, in major cities nationwide, including Minneapolis-St. Paul. The Birmingham-based unit of Target (NYSE: TGT), announced its hiring plans early Wednesday, saying the move will bring its total shopper network to 300,000. </t>
  </si>
  <si>
    <t>https://www.bizjournals.com/twincities/news/2020/10/07/shipt-100000-workers-holidays.html</t>
  </si>
  <si>
    <t>Target</t>
  </si>
  <si>
    <t>Jet Linx</t>
  </si>
  <si>
    <t>Private jet company Jet Linx held a grand opening of its newest terminal at Flying Cloud Airport in Eden Prairie.
It’s the 19th U.S. base for Omaha-based Jet Linx Aviation, LLC, which offers both private aircraft management and jet card memberships. The private terminal at Flying Cloud could eventually have as many as 45 to 50 employees. Jet Linx is currently managing three private aircraft in the Twin Cities but entered the market because it sees the opportunity to grow that number.</t>
  </si>
  <si>
    <t>https://www.bizjournals.com/twincities/news/2020/10/08/jet-linx-opens-terminal-at-flying-cloud-airport.html</t>
  </si>
  <si>
    <t>15221 Charlson Rd</t>
  </si>
  <si>
    <t>AirCorps Aviation</t>
  </si>
  <si>
    <t>AirCorps Aviation is working toward a $1.2 million expansion. Beltrami County is helpfing with funding provided as a loan. AirCorps Aviation's project will include purchasing a building along Adams Avenue in Bemidji Township, which will double the company's square footage. The business focuses on restoration and fabrication of vintage aircraft. The expansion will create 10 new jobs, paying at least $20 an hour. Renovations will be completed by Q1 and Q2 of 2021.
DEED MIF Award $200K.</t>
  </si>
  <si>
    <t>Maintenance, Repair</t>
  </si>
  <si>
    <t>https://www.bemidjipioneer.com/business/6710287-AirCorps-Aviation-looking-to-expand-with-county-MNDEED-assistance</t>
  </si>
  <si>
    <t>Bemidji Pioneer, DEED</t>
  </si>
  <si>
    <t xml:space="preserve">MIF </t>
  </si>
  <si>
    <t>Menards</t>
  </si>
  <si>
    <t xml:space="preserve">Eyota was awarded $434,727 to assist with constructing a street and extending utilities to a new industrial park that will include a new Menards nail plant. The project will retain 20 jobs. </t>
  </si>
  <si>
    <t>https://eyota.govoffice.com/vertical/sites/%7B6A40AD6F-800F-4E67-85FB-9F663D043B20%7D/uploads/agenda_8-27-2020_with_packet.pdf</t>
  </si>
  <si>
    <t>City of Eyota</t>
  </si>
  <si>
    <t>MJ Holdings</t>
  </si>
  <si>
    <t>Waseca</t>
  </si>
  <si>
    <t xml:space="preserve">Waseca was awarded $621,920 to assist with increasing the size of a watermain that allow the construction of a new Conagra food processing plant and for MJ Holdings to increase their manufacturing of hand sanitizer and extracting of CBD. The MJ Holdings project will retain 60 full-time jobs, create 190 new jobs. </t>
  </si>
  <si>
    <t>MTU Power Generation Systems (MTU Onsite Energy)</t>
  </si>
  <si>
    <t>Rolls-Royce Power Systems (aka MTU Power Generation Systems) plans to add a new R&amp;D building and multi-phase expansion of its plant in Mankato.
The $13.9 million investment will add 28,000-sq-ft to the facility, allowing for more assembly lines, enhanced product testing and 20 new manufacturing jobs.
This will enable high-power MTU gas-generator units to be produced in the US for the first time. MTU generators are used for backup power.</t>
  </si>
  <si>
    <t>MFG, RD,OF</t>
  </si>
  <si>
    <t>https://www.bizjournals.com/twincities/news/2020/10/13/rolls-royce-expands-power-generation-facility.html</t>
  </si>
  <si>
    <t>100 Power Dr</t>
  </si>
  <si>
    <t>Rolls-Royce</t>
  </si>
  <si>
    <t>Friedrichshafen</t>
  </si>
  <si>
    <t>Pilgrim's Pride</t>
  </si>
  <si>
    <t>Cold Spring</t>
  </si>
  <si>
    <t>Multinational food company Pilgrim’s Pride Corp. plans a $75 million expansion of a poultry plant in Cold Spring.
The company, which has its U.S. headquarters in Greeley, Colo., plans to add 50,000 square feet to the facility and renovate parts of the existing facility.  the expansion could add 130 jobs, with work scheduled for completion in 2021. The plant currently employs nearly 1,200 workers.</t>
  </si>
  <si>
    <t>https://www.bizjournals.com/twincities/news/2020/10/15/expansion-planned-for-cold-spring-poultry-plant.html</t>
  </si>
  <si>
    <t>851 Sauk River Rd</t>
  </si>
  <si>
    <t>TIF (with St. Cloud)</t>
  </si>
  <si>
    <t>JBS</t>
  </si>
  <si>
    <t>Brazil</t>
  </si>
  <si>
    <t>Herman</t>
  </si>
  <si>
    <t>Grant</t>
  </si>
  <si>
    <t xml:space="preserve">CHS has a new, state of the art elevator complex in Herman that began receiving grain October 13, 2020. The complex includes three 25,000 bushel/hour receiving pits. The previous elevator processed up to 15,000 bushels/hour. At 132 feet tall, 8 main silos and additional smaller bins offer 1.45 million bushels of upright storage space. A first-of-its-kind elevator is automated to receive grain around the clock and is expected to be available for use during 2021 harvest. </t>
  </si>
  <si>
    <t>https://www.chs-herman.com/about-us/news/herman-elevator-complete-and-receiving-grain/</t>
  </si>
  <si>
    <t>406 Pacific Ave S</t>
  </si>
  <si>
    <t>Amazon.com is planning to build a 750,000-square-foot fulfillment center in Lakeville. The facility will be on 72 acres at the Interstate South Logistics Park, at the southwest corner of Dodd Road and Country Road 70. The center will be known as an AMXL FC facility. 
Those items would be shipped in a radius of 30 to 45 minutes. Wages start at $15 an hour. Number of workers is unknown but project calls for 300 surface parking stalls. Completion expected in August of 2021.</t>
  </si>
  <si>
    <t>https://www.bizjournals.com/twincities/news/2020/10/20/amazon-fulfillment-center-lakeville-large-items.html</t>
  </si>
  <si>
    <t>Infinity Biologix (IBX)</t>
  </si>
  <si>
    <t xml:space="preserve">Gov. Tim Walz toured a new laboratory in Oakdale Tuesday that will process 30,000 saliva tests a day. The Oakdale lab and 10 in-person testing sites, which are already open or planned around the state, was funded with $14 million of federal money for the coronavirus response. The lab will employ about 250 workers. The effort is a collaboration between Infinity Biologix, or IBX, which developed the saliva test, and Vault Health, which manages the logistics to collect and process samples. </t>
  </si>
  <si>
    <t>Lab</t>
  </si>
  <si>
    <t>https://www.twincities.com/2020/10/20/covid-19-saliva-test-lab-opens-in-oakdale-as-cases-continue-to-climb/</t>
  </si>
  <si>
    <t>3510 Hopkins Place, Bldg 4</t>
  </si>
  <si>
    <t>Federal</t>
  </si>
  <si>
    <t>Arctic Wolf, a Silicon Valley cybersecurity startup with a strong Eden Prarie presence, has relocated its corporate headquarters to Minnesota after raising $200 million in funding.
Artic Wolf plans to create 150 new jobs by the end of 2021.
Arctic Wolf’s Minnesota presence began four years ago with three employees working out of a local grocery. The Eden Prairie office has fueled the company’s growth, prompting company leaders to select Minnesota for its new headquarters.</t>
  </si>
  <si>
    <t>https://www.twincities.com/2020/10/22/arctic-wolf-moves-headquarters-to-eden-prairie-after-a-200-million-boost-in-funding/</t>
  </si>
  <si>
    <t>Lake of the Woods Distilling Company</t>
  </si>
  <si>
    <t>Baudette</t>
  </si>
  <si>
    <t>Lake of the Woods</t>
  </si>
  <si>
    <t>Lake of the Woods Distilling Company is a new planned manufacturing and tasting room business operated by an ownership group. The group purchased the Fischer’s True Value building on Main Avenue. The company expects to hire at least 9 employees with wages ranging from $13/hr to $33/hr. Manufacturing is the main part of the new business. They plan to distill a vodka, gin, rum, whiskey and tequila. The new distillery and tasting room should be operating by summer or fall 2021.
November: MIF award $125K</t>
  </si>
  <si>
    <t>https://www.page1publications.com/2020/10/22/baudette-distillery-project-moves-forward/</t>
  </si>
  <si>
    <t>Page 1 Publications, DEED</t>
  </si>
  <si>
    <t>106 N. Main Ave</t>
  </si>
  <si>
    <t>USI Insurance Services</t>
  </si>
  <si>
    <t>USI Expansion(Floors 6 &amp;10) &amp; Remodel (Floors 4 &amp; 5). USI is a leader in insurance brokerage and consulting in P&amp;C, employee benefits, personal risk services, retirement, program and specialty solutions.</t>
  </si>
  <si>
    <t>8331 NORMAN CENTER DR</t>
  </si>
  <si>
    <t>Superior Decks &amp; Railings</t>
  </si>
  <si>
    <t>Superior Decks &amp; Railings was issued a building permit in October for the construction of a 62,000-square-foot building to be located at 7776 Lakeville Boulevard. The business designs and manufactures aluminum decks, railings and fences.</t>
  </si>
  <si>
    <t>Fabricated metals</t>
  </si>
  <si>
    <t>7776 Lakeville Boulevard</t>
  </si>
  <si>
    <t>Minneapolis-based payment platform Sezzle Inc. says it has doubled its employee headcount to more than 200 in 2020.
In a news release last week, the financial tech company said its headcount grew by 20 percent in the fourth quarter alone. The new hires extended across the organization, including everything from sales to software development.
The hiring frenzy was driven, in part, by a roughly $60 million investment the company secured over the summer,</t>
  </si>
  <si>
    <t>https://tcbmag.com/sezzle-has-doubled-headcount-in-2020/</t>
  </si>
  <si>
    <t>George Demou, president and chief executive of Avtex, a customer experience consulting and technology company, says offering free software and services to help clients get employees working remotely amid the pandemic ultimately has boosted the company’s fortunes. Close to 1,000 clients took advantage of the offer in April.
The company — with most of its more than 430 employees also working remotely — is hiring and expects to have 500 employees by year’s end.</t>
  </si>
  <si>
    <t>https://www.startribune.com/bloomington-firm-gave-away-its-product-early-in-pandemic-the-risky-move-paid-off/572996032/</t>
  </si>
  <si>
    <t>3500 American Blvd W #300</t>
  </si>
  <si>
    <t>Erik's Bike Shop</t>
  </si>
  <si>
    <t>Erik’s Bike Shop Inc. is relocating its corporate headquarters, warehouse and distribution center to Minneapolis from Bloomington this month.
Erik Saltvold, founder and CEO of the 31-store retail chain, said the new location (at an existing structure) at 550 Kasota Ave. SE. in Minneapolis’ Como neighborhood made sense for both the business and its employees. At 100,000 square feet, the new warehouse gives Erik’s more than twice the space it had in Bloomington.
Update July 2021: new facility opened.</t>
  </si>
  <si>
    <t>HQ, WH, RET</t>
  </si>
  <si>
    <t>https://www.bizjournals.com/twincities/news/2020/11/09/eriks-bike-shop-moves-headquarters-to-minneapolis.html</t>
  </si>
  <si>
    <t>550 Kasota Ave SE</t>
  </si>
  <si>
    <t>Government (Opportunity Zones, MN-OZA)</t>
  </si>
  <si>
    <t>SunOpta</t>
  </si>
  <si>
    <t xml:space="preserve">SunOpta reveals $26 million expansion in Alexandria.  As one of the largest facilities of its kind in the United States, the plant will use proprietary enzymatic processes to break down whole oats into a liquid oat base that will then be used to make oat milk and other products.
This new addition will create more than 20 new jobs and will quadruple oat base production. SunOpta currently employs 66 people.  </t>
  </si>
  <si>
    <t>https://www.echopress.com/business/manufacturing/6757659-SunOpta-reveals-26-million-expansion-in-Alexandria</t>
  </si>
  <si>
    <t>Echo Press</t>
  </si>
  <si>
    <t>601 Third Ave. W</t>
  </si>
  <si>
    <t>Brampton</t>
  </si>
  <si>
    <t>Midwest Co-pack</t>
  </si>
  <si>
    <t>Midwest Co-pack (MWCP) is purchasing the former Ferrara Canada company building at 1000 W 5th Str.  Expansion plans depend upon financing with Port Authority ($75K loan), MIF and JCF appliactions. MWCP has acquired 7 new customers in past 3 years and a large contract for several years to manufacture healthier grade products. The expansion would require building rehabilitation and facility/equipment upgrades. MWCP has already hired 14 new employees and needs to hire another 50. Awards: MIF $150,000. JCF $175,000.</t>
  </si>
  <si>
    <t>https://www.cityofwinona.com/AgendaCenter/ViewFile/ArchivedAgenda/_12102020-135</t>
  </si>
  <si>
    <t>City of Winona</t>
  </si>
  <si>
    <t>1000 West Fifth Street</t>
  </si>
  <si>
    <t>MIF $150K, JCF $175K. Port Auth. $75K</t>
  </si>
  <si>
    <t>GBBN</t>
  </si>
  <si>
    <t>GBBN, one of the largest architectural firms in Greater Cincinnati, has expanded to Minneapolis.  Minneapolis marks the first new office for the Cincinnati firm since it opened an office in Pittsburgh in 2013. GBBN now has five full-time employees in Minneapolis, with plans to add two more within the month. The office will be located in the Grain Exchange Building at 400 S. Fourth St. in downtown Minneapolis.</t>
  </si>
  <si>
    <t>https://www.bizjournals.com/twincities/news/2020/11/18/one-of-cincinnatis-largest-architecture-firms.html</t>
  </si>
  <si>
    <t>400 S. Fourth St</t>
  </si>
  <si>
    <t>DataBank</t>
  </si>
  <si>
    <t xml:space="preserve">DataBank Holdings, a Dallas-based firm that runs data centers, has broken ground on an 86,000-square-foot data center in Brooklyn Park, its third such center in Minnesota.
The center, known as MSP3, is being built at 8111 Oxbow Creek N. and is expected to be operational by September. An additional 170,000-square-feet of data center space is planned for later. The $15.3 million expansion will create 20 to 25 permanent jobs.
DataBank's two existing Minnesota data centers are in Edina and Eagan. </t>
  </si>
  <si>
    <t>DC</t>
  </si>
  <si>
    <t>https://www.bizjournals.com/twincities/news/2020/11/20/databank-plans-third.html</t>
  </si>
  <si>
    <t>8111 Oxbow Creek N.</t>
  </si>
  <si>
    <t>Regenhu</t>
  </si>
  <si>
    <t xml:space="preserve">Regenhu (Switzerland) is investing in United States in the Biotechnology sector in a Sales, Marketing &amp; Support project. 
Switzerland-based Regenhu, which specialises in med tech 3D bioprinting, has opened an office in Edina, Minnesota, US. It will serve the US market and Canada. The company’s first office in the U.S. officially opened last Monday. It will serve as the central hub for delivering their bioprinting service while also supporting partners and clients across North America. </t>
  </si>
  <si>
    <t>https://bit.ly/33wTacP</t>
  </si>
  <si>
    <t>Sun Current, Hometown Source</t>
  </si>
  <si>
    <t>5256 W 74th St</t>
  </si>
  <si>
    <t>Vortex Cold Storage LLC</t>
  </si>
  <si>
    <t xml:space="preserve">Vortex Cold Storage plans to build a 170,000 sq. ft. cold storage facility requiring a $31 million investment in Albert Lea. Broke ground January 2021.
The Albert Lea City Council is supporting the project with an incentive package that includes nine years of Tax Increment Financing estimated at $1,295,028 and six years of Tax Abatement totaling an additional $350,000. DEED JCF Award $176,000. 26 new jobs paying average wages of $28.02/hr. </t>
  </si>
  <si>
    <t>https://www.cityofalbertlea.org/november-23-2020/</t>
  </si>
  <si>
    <t>7447 Dresser Dr NE</t>
  </si>
  <si>
    <t>JCF ($176K), TIF (1,295,000), Tax Abate ($350K)</t>
  </si>
  <si>
    <t>North Central Utility</t>
  </si>
  <si>
    <t>St Augusta</t>
  </si>
  <si>
    <t>A semi trailer dealership is building a new facility in St. Augusta and will add about a dozen new jobs to the area. Will open in late spring 2021. North Central Utility has locations throughout ND, WI and MN, including in North Mankato and Rogers. The new facility will be more than 25,000 square feet and would bring 10 to 15 new jobs to the area. The expected project cost is around $3.5 million.
The dealership will be full-service, including sales, parts and seven bays for service work/</t>
  </si>
  <si>
    <t>RT, Other</t>
  </si>
  <si>
    <t xml:space="preserve">https://bit.ly/3fQBPAy </t>
  </si>
  <si>
    <t>2150 Carlson Dr</t>
  </si>
  <si>
    <t>Xcel Energy Inc. is planning to build a three-level, 85,000-square-foot operations center and office building along the Northeast Minneapolis riverfront. The Marshall Operations Center building will accommodate the functions performed at Xcel’s Chestnut Service Center in Minneapolis. That service center will be redeveloped, but Xcel didn’t provide further details.  Xcel's electrical-distribution control center will also be relocated to the Marshall Street building.</t>
  </si>
  <si>
    <t>https://www.bizjournals.com/twincities/news/2020/12/04/xcel-northeast-minneapolis-operations-building.html</t>
  </si>
  <si>
    <t>3356 Marshall St N</t>
  </si>
  <si>
    <t>Aurora Pharmaceutical</t>
  </si>
  <si>
    <t>Aurora Pharmaceutical begins expansion, expects job growth.  Aurora Pharmaceutical is embarking on a 4,000-square-foot expansion this week, a project expected to enable future job growth. Aurora CEO and Founder Michael Strobel said the expansion, in front of the former Cannon Valley Printing facility on Hwy. 3, will add production space for animal pharmaceutical manufacturing projects. He expects the project to take three to four months.</t>
  </si>
  <si>
    <t>Pharmaceuticals</t>
  </si>
  <si>
    <t>https://www.southernminn.com/northfield_news/business/article_b440079d-6316-5eae-8404-afdb4357d21a.html</t>
  </si>
  <si>
    <t>Southern MN</t>
  </si>
  <si>
    <t>1196 MN-3</t>
  </si>
  <si>
    <t>TBEI</t>
  </si>
  <si>
    <t xml:space="preserve">TBEI begins expansion project that will add 55,000 square feet to its Lake Crystal plant where Crysteel and J-Craft dump bodies are manufactured. Truck Bodies and Equipment International Inc. has begun a multi-million-dollar expansion and continuous improvement project.
In September 2020, TBEI completed the acquisition of the current production facility  along with an adjacent facility. The expansion project is currently underway and is targeted to be completed by mid-2021.. </t>
  </si>
  <si>
    <t>https://www.trailer-bodybuilders.com/truck-bodies/article/21149997/tbei-begins-expansion-project-at-minnesota-facility#:~:text=Truck%20Bodies%20and%20Equipment%20International,feet%20to%20the%20manufacturing%20footprint</t>
  </si>
  <si>
    <t>52182 Ember Rd</t>
  </si>
  <si>
    <t>Omcare</t>
  </si>
  <si>
    <t xml:space="preserve">Ōmcare, a MN health startup, has received a $2.5 million investment from Connect the Grey Investment Management to bring its Home Health Hub, an in-home device that dispenses and allows monitoring of a user’s medicine intake, to market. The hub is manufactured in Minnesota. The coronavirus pandemic has cemented the need for telehealth services and product. Latvin is now focused on Ōmcare’s 14-person staff, which Lavin plans to significantly grow next year. </t>
  </si>
  <si>
    <t>https://finance-commerce.com/2020/12/startup-omcare-lands-2-5m-medical-investment/</t>
  </si>
  <si>
    <t>2970 Judicial Rd Suite 210</t>
  </si>
  <si>
    <t>Polytek Surface Coatings</t>
  </si>
  <si>
    <t>Polytek Surface Coatings has completed construction on its new two-story, 17,218-square-foot office and warehouse building at 7850 Lakeville Boulevard. This business was previously located in a smaller leased space in the Hebert Building III on Heron Way</t>
  </si>
  <si>
    <t>OF, WH</t>
  </si>
  <si>
    <t>7850 Lakeville Boulevard</t>
  </si>
  <si>
    <t>Recycle Minnesota</t>
  </si>
  <si>
    <t>Recycle Minnesota has completed construction of the 21,240-square-foot building addition to its existing 41,834-square-foot recycling facility located at 8812 215th Street. The business also
added a 69-foot tall storage silo on the property which will store recycled glass, such as beverage bottles and food jars, that is then periodically loaded into a semi-trailer for over-the-road transport.</t>
  </si>
  <si>
    <t>8812 215th Street</t>
  </si>
  <si>
    <t>2021-Q1</t>
  </si>
  <si>
    <t>Peace Coffee</t>
  </si>
  <si>
    <t>Although Peace Coffee shuttered its three downtown coffee shops in March, cutting 26 retail employees, its larger wholesale and e-commerce businesses, which constituted about 85% of revenue, grew by double digits. They should again in 2021.
"Peace Coffee tripled capacity to produce roasted coffee with a new Diedrich roaster we acquired in February for about $120,000," Wallace added. "And [we] added 14,000 square feet to space at the Southside Greenway Building, to 22,000 square feet."</t>
  </si>
  <si>
    <t>Food</t>
  </si>
  <si>
    <t>https://www.startribune.com/peace-coffee-g-b-environmental-pruned-then-grew-to-survive-through-pandemic/600016569/</t>
  </si>
  <si>
    <r>
      <t> </t>
    </r>
    <r>
      <rPr>
        <sz val="11"/>
        <rFont val="Arial"/>
        <family val="2"/>
      </rPr>
      <t>2801 21st Ave S #130,</t>
    </r>
  </si>
  <si>
    <t>Magenic</t>
  </si>
  <si>
    <t>St. Louis Park-based software consultancy Magenic Technologies Inc. has agreed to be acquired by Cognizant Technology Solutions Corp.
The deal is expected to close sometime in the first quarter. It's not yet clear whether the Magenic brand will survive the merger.  Both companies don't expect layoffs and hope to actually continue to hire, including in the Twin Cities, where Magenic has about 250 employees.</t>
  </si>
  <si>
    <t>https://www.bizjournals.com/twincities/inno/stories/news/2021/01/19/magenic-agrees-acquired-cognizant.html</t>
  </si>
  <si>
    <t>1600 Utica Ave S #200</t>
  </si>
  <si>
    <t>Bemidji Steel Company Inc</t>
  </si>
  <si>
    <t>Rockwood Township</t>
  </si>
  <si>
    <t>Bemidji Steel is moving to Hubbard County. The manufacturer will construct a new, nearly $3-million headquarters office. Greater Bemidji Inc.,an ED organization for Beltrami County area, is assisting in the expansion.
Bemidji Steel Company plans to relocate to just south of Bemidji, at the corner of U.S. Hwy. 71 and County Road 9.  The project will be a state-of-the-art, value-added production facility for metal, includes relocateing commercial steel sales division. Creates 6 manuf. jobs.</t>
  </si>
  <si>
    <t>https://www.parkrapidsenterprise.com/news/6852764-Bemidji-Steel-moving-its-headquarters-to-Hubbard-County</t>
  </si>
  <si>
    <t>540 Mahnomen Dr SE</t>
  </si>
  <si>
    <t>Code42</t>
  </si>
  <si>
    <t>Software-security firm Code42, which shrank from 600 to 500 people over the past two years due to business realignment and economic downturn, is back on a growth track.
Code42 laid off or furloughed about 50 people last spring in anticipation of the worst from the downturn that happened after the coronavirus swept the globe. The company expects to return to 550 workers within months.</t>
  </si>
  <si>
    <t>https://www.startribune.com/minneapolis-based-code42-adding-employees-again-eyes-stock-offering-within-two-years/600014862/</t>
  </si>
  <si>
    <t>100 S Washington Ave,</t>
  </si>
  <si>
    <t>TUV SUD America Inc</t>
  </si>
  <si>
    <t xml:space="preserve">TÜV SÜD’s New Brighton Testing Laboratory tests and certifies a variety of product safety certification standards. Competition with sites in Atlanta, Boston and Tampa. Worked with Ryan Cos, Greater MSP and City of New Brighton. New Brighton was selected for Multi-million dollar expansion. Will create 19 new high-paying jobs.  Construction will start in April 2021. Expansion will further solidify the area as a preeminent location for global headquarters and the anchor location in North America. </t>
  </si>
  <si>
    <t>HQ, OF, RD</t>
  </si>
  <si>
    <t>https://webstreaming.ctv15.org/viewer.php?streamid=4611&amp;jwsource=cl</t>
  </si>
  <si>
    <r>
      <t> </t>
    </r>
    <r>
      <rPr>
        <sz val="11"/>
        <rFont val="Arial"/>
        <family val="2"/>
      </rPr>
      <t>141 14th St NW</t>
    </r>
  </si>
  <si>
    <t>TÜV SÜD</t>
  </si>
  <si>
    <t>Munich</t>
  </si>
  <si>
    <t>Louis Industries Inc</t>
  </si>
  <si>
    <t>Louis Industries is one of the most modern steel processing facilities in the Upper Midwest, using state of the art lasers, turrets, welding, inspection and metal forming equipment. 
DEED: $3.2 million investment. 10 new jobs with an average wage of $21.40/hr. JCF $150K. No further information available.</t>
  </si>
  <si>
    <t>222 Industrial Loop St W</t>
  </si>
  <si>
    <t xml:space="preserve">Essentia Health is planning an outpatient surgery center inside the former Sears store at Duluth's Miller Hill Mall. The new facility reflects the growing number of surgeries and other procedures that can be done safely without hospitalization.
Construction is expected to start this spring, and the 32,000-square-foot center could open by spring 2022. A laboratory and pharmacy are part of the plans. In 2019, Essentia purchased and moved into the former Younkers store at Miller Hill Mall. </t>
  </si>
  <si>
    <t>https://www.startribune.com/essentia-health-bringing-surgery-center-to-former-sears-at-duluth-mall/600018135/</t>
  </si>
  <si>
    <t>400 E 3rd St</t>
  </si>
  <si>
    <t>UroDev</t>
  </si>
  <si>
    <t>Smart catheter company UroDev Medical has relocated from San Clemente, California, to Edina as it prepares to launch its first product into the market. UroDev currently only has 3 full-time employees; they're going to be hiring for roles in finance, customer service and sales.
UroDev will submit for FDA 510(k) clearance around mid-year and expects to receive approval by the end 2021. A Series B round of fundraising between $10 million and $15 million is planned in the third quarter.</t>
  </si>
  <si>
    <t>OF, MF</t>
  </si>
  <si>
    <t>https://www.bizjournals.com/twincities/news/2021/02/02/veteran-founded-catheter-firm-moves.html</t>
  </si>
  <si>
    <t>IndusTrack</t>
  </si>
  <si>
    <t>Plymouth-based IndusTrack won $100,000 atf MEDA's third Million Dollar Challenge, and was the only winner from Minnesota this year.
IndusTrack makes management software for contractors in fields like HVAC, construction and plumbing. Its software has GPS tracking for employees and handles features like invoicing. The firm has 20 employees and plans to hire more, including 4 salespeople. The goal is to be a $10 million company by 2025.  About 85% of the winnings is going to marketing.</t>
  </si>
  <si>
    <t>https://www.bizjournals.com/twincities/news/2021/02/04/raz-bajwa-industrack-meda-million-dollar-challenge.html</t>
  </si>
  <si>
    <t>10700 Hwy 55</t>
  </si>
  <si>
    <t>Graco Inc. has purchased 100 acres of undeveloped land in Dayton, Minn., and plans to build a 500,000-square-foot industrial facility there.
Minneapolis-based Graco (NYSE: GGG), a manufacturer of fluid handling equipment, plans to relocate 225 employees in two of its three divisions currently based in Minneapolis. The first phase of completion is scheduled for 2022.
Update 9/28/22: Grand opening of $95 million manufacturing building</t>
  </si>
  <si>
    <t>https://www.bizjournals.com/twincities/news/2021/02/05/graco-dayton-land-acquisition.html</t>
  </si>
  <si>
    <t>Medica</t>
  </si>
  <si>
    <t>Medica brings 50 jobs to new office in St. Paul, and is prioritizing jobs to workers who live in the five ZIP codes surrounding the office.
Female- and minority-owned building contractors worked on the new 7,000 square foot office in St. Paul, in the Wilder Foundation building.
Medica's employees are working remotely for now. Hiring for the claims processors and call-center workers has begun; all jobs should be filled by mid-March. Wages are $55,000 to $70,000 a year including pay and benefits.</t>
  </si>
  <si>
    <t>https://www.startribune.com/out-of-the-riots-and-rubble-medica-brings-50-jobs-to-new-office-in-st-paul/600020252/</t>
  </si>
  <si>
    <t>451 Lexington Parkway N</t>
  </si>
  <si>
    <t>Sportech LLC</t>
  </si>
  <si>
    <t>Sportech's expansion plans consist of constructing a 91,050 square foot addition to its existing manufacturing facility. Applied for tax abatement of property taxes of up to $388,800 with Elk River.</t>
  </si>
  <si>
    <t>Plastics</t>
  </si>
  <si>
    <t>https://www.hometownsource.com/classifieds/star_news/community/announcements/legal/notice_of_public_hearing/march-1-ph-sportech-expansion-project/pdfdisplayad_59f245c3-f971-5cc2-9ec3-f81d2869bba8.html</t>
  </si>
  <si>
    <t>10800 175th Ave NW</t>
  </si>
  <si>
    <t>Netspi</t>
  </si>
  <si>
    <t>NetSPI, an enterprise-security tester and system-vulnerability manager, said it grew sales 35% for a fourth year in a row and is approaching revenue of $50 million. Its employs more than 200 workers around the country and expects to add up to 50 more this year. The firm works with large banks and several units of the Department of Defense. Like its clients, NetSPI had to adjust to remote work.</t>
  </si>
  <si>
    <t>https://www.startribune.com/growth-accelerates-for-twin-cities-cybersecurity-businesses/600023160/</t>
  </si>
  <si>
    <t>800 Washington Ave N, Ste 670</t>
  </si>
  <si>
    <t>Google To Open First Minnesota Office and lease space at the Collider Coworking space in downtown Rochester. Google execs declined to share specific hiring plans or an exact opening date for the new space, beyond saying a “handful of Googlers” will work in the office when it opens.
The office will primarily house software engineers working in two Google divisions: Google Cloud and Google Health.</t>
  </si>
  <si>
    <t>https://tcbmag.com/google-to-open-first-minnesota-office-in-rochester/?utm_source=SilverpopMailing&amp;utm_medium=email&amp;utm_campaign=021821_TBRIEFCASE%20(1)</t>
  </si>
  <si>
    <t>Office-equipment supplier Loffler Cos. will relocate to St Louis Park in a multimillion-dollar move from Bloomington. Will relocate 400 employees from four buildings in Bloomington. Paid just over $9 million for the 150,000-square-foot former Sam's Club, to be converted to a headquarters and warehouse space, consolidating operations.
Warehouse workers will move by the end of March. Office workers will move by early 2022 after renovations are done.</t>
  </si>
  <si>
    <t>HQ, WH</t>
  </si>
  <si>
    <t>https://www.startribune.com/shuttered-sam-s-club-in-st-louis-park-will-become-a-corporate-headquarters/600024961/</t>
  </si>
  <si>
    <t>1101 E 78th St, Ste 200</t>
  </si>
  <si>
    <t>Cirrus saw its steepest drop in sales in the spring, when uncertainty over the pandemic's effect on the economy caused quarterly sales to plummet nearly 40% year over year. 
Sales improved steadily after that. In total the company reported $491.7 million in billings in 2020. Sales of the $2 million Vision jet helped drive record billings of $547.3 million in 2019.
Cirrus has more than 100 jobs advertised for its facilities in Duluth, Grand Forks, N.D. and Knoxville, Tenn.</t>
  </si>
  <si>
    <t>https://www.startribune.com/duluth-based-cirrus-aircraft-sales-hurt-by-pandemic-rebounded-late-in-2020/600027938/</t>
  </si>
  <si>
    <r>
      <t> </t>
    </r>
    <r>
      <rPr>
        <sz val="11"/>
        <rFont val="Arial"/>
        <family val="2"/>
      </rPr>
      <t>4515 Taylor Cir,</t>
    </r>
  </si>
  <si>
    <t xml:space="preserve">Arctic Wolf, a cybersecurity firm that moved its headquarters from Silicon Valley to Eden Prairie last year, is growing fast. Now, 200 of the firm's 700 employees are based in Eden Prairie. In another 12 months, there should be 350. Arctic Wolf is ranked third on Energage's national Top Workplaces list for companies with 100 to 499 employees. </t>
  </si>
  <si>
    <t>https://www.startribune.com/eden-prairie-s-arctic-wolf-is-employee-focused-and-growing/600027806/</t>
  </si>
  <si>
    <t>8939 Columbine Rd #150</t>
  </si>
  <si>
    <t>MDI</t>
  </si>
  <si>
    <t xml:space="preserve">MDI has been a good financial performer over the last decade, as well as a shining example of the power of workforce inclusion. Its leaders have plans to expand the nonprofit manufacturer that employs 562 people, including nearly 190 with disabilities. MDI is a nonprofit "social enterprise" that gets 95% of revenue from sales.  </t>
  </si>
  <si>
    <t>Admin, Support</t>
  </si>
  <si>
    <t>https://www.startribune.com/mdi-a-pioneer-in-workforce-inclusion-seeks-further-expansion/600028676/</t>
  </si>
  <si>
    <t>3501 Broadway St NE, Ste 100</t>
  </si>
  <si>
    <t>Nordic Ware</t>
  </si>
  <si>
    <t>Nordic Ware is proposing a 45,000-square-foot addition to its warehouse and loading dock operations at the company's St. Louis Park headquarters. Also includes a new small cafe with an outdoor patio. 
The expansion will nearly double the amount of loading dock doors available at the St. Louis Park site. Currently Nordic Ware is renting a shipping facility in Golden Valley to handle all of its orders.</t>
  </si>
  <si>
    <t>WH, HQ, RT</t>
  </si>
  <si>
    <t>Aluminum</t>
  </si>
  <si>
    <t>https://www.bizjournals.com/twincities/news/2021/03/01/nordic-ware-cafe-warehouse-expansion-building-9.html</t>
  </si>
  <si>
    <t>5005 County Road 25</t>
  </si>
  <si>
    <t>Target will invest $4 billion annually to open more stores, enhance its fulfillment services and strengthen its supply chain. In order to scale up its fulfillment operation, the company is testing a "Mixing Center" in Minneapolis and expects to open five more this year.
The Minneapolis facility, located in a 400,000-square-foot building Target bought last summer for $17.4M, will collect online orders from local stores and sort them into efficient routes for carrier delivery.</t>
  </si>
  <si>
    <t>https://www.bizjournals.com/twincities/news/2021/03/02/target-investment-sorting-centers-expanded-options.html</t>
  </si>
  <si>
    <t>33 South 6th St</t>
  </si>
  <si>
    <t>Nu-Tek BioSciences</t>
  </si>
  <si>
    <t xml:space="preserve">Nu-Tek BioSciences manufactures industrial ingredients used in the development and manufacturing of pharmaceuticals (including for COVID vaccines). Will build a new manufacturing facility in Austin, MN that will be the first dedicated, animal-free peptone, and protein hydrolysate manufacturing facility in the U.S. Construction is expected to begin in the Spring of 2021.
The expansion will create 35 high quality jobs within the next two years. DEED grant awards: MIF $125K, JCF $175K. </t>
  </si>
  <si>
    <t>MF, RD</t>
  </si>
  <si>
    <t>https://www.businesswire.com/news/home/20210303005281/en/Nu-Tek-BioSciences-to-Build-Dedicated-Animal-free-Peptone-Manufacturing-Facility-to-Service-Growing-Biologics-Supply-Chain-Demands</t>
  </si>
  <si>
    <t>JCF $175K, MIF $325K, JTIP $338K</t>
  </si>
  <si>
    <t>Northern Pride, Inc.</t>
  </si>
  <si>
    <t>Thief River Falls</t>
  </si>
  <si>
    <t>Pennington</t>
  </si>
  <si>
    <t>Northern Pride has begun work on a multimillion dollar expansion project. Northern Pride recently purchased the former Northwest Beverage building and plans to use the building for further turkey processing, including deboning and preparing other packaged products.
Northern Pride anticipates employing an additional 15 to 20 full-time employees year-round at this location. Northern Pride plans to extensively invest in the building to renovate it and modify it.
DEED MIF: $200K</t>
  </si>
  <si>
    <t>https://trftimes.com/news/16310/trf-seeks-200000-loan-on-behalf-of-northern-pride</t>
  </si>
  <si>
    <t>518 Pennington Ave S,</t>
  </si>
  <si>
    <t>Boston Scientific proposes to expand their manufacturing facility at Building 14, in the northwest corner of the Arden Hills campus. The expansion will mainly house development and production of lithium batteries used in medical devices, and is a 'dry room', a space maintained at less than 1% relative humidity, required for handling lithium. The 17,500 Sqft addition also includes office and conference space. The project is will generate 150 new jobs over the next three years. 
DEED JCF Award $840K.</t>
  </si>
  <si>
    <t>https://www.cityofardenhills.org/AgendaCenter/ViewFile/Minutes/_03082021-962</t>
  </si>
  <si>
    <t>City of Arden Hills</t>
  </si>
  <si>
    <t>4100 HAMLINE AVENUE NORTH</t>
  </si>
  <si>
    <t>JCF $840K</t>
  </si>
  <si>
    <t>Boston Scientific, a  medical device company, plans to construct a fourth building on its campus. A two-story, 76,000-square-foot building will double the company's manufacturing space in Maple Grove for components of its Watchman device. Construction began last summer on the project and should be complete at the end of this year. Boston Scientific has more than 10,000 employees in Minnesota, more than it has in its home state of Massachusetts.</t>
  </si>
  <si>
    <t>https://ccxmedia.org/news/boston-scientific-plans-to-add-new-maple-grove-building/</t>
  </si>
  <si>
    <t>CCX Media</t>
  </si>
  <si>
    <t>1 Scimed Pl,</t>
  </si>
  <si>
    <t>All Integrated Solutions</t>
  </si>
  <si>
    <t>All Integrated Solutions (AIS), a division of MSC Industrial Direct relocated to a new distribution center in Maple Grove, from New Brighton.
The new 52,000-SF facility is 170% larger than AIS' previous distribution center in New Brighton and utilizes a state-of-the-art warehouse system with narrow aisles, wire-guided material handling equipment and 32-foot ceilings to improve storage efficiency. Franksville, Wis.-based AIS provides fasteners, components and tools to the manufacturing sector.</t>
  </si>
  <si>
    <t>https://www.bizjournals.com/twincities/news/2021/03/10/all-integrated-solutions-larger-distribution-cente.html</t>
  </si>
  <si>
    <t>10680 Fountains Drive</t>
  </si>
  <si>
    <t>Advanced Volumetric Alliance, LLC</t>
  </si>
  <si>
    <t>Albertville</t>
  </si>
  <si>
    <t>Albertville's new Business Park will include an industrial manufacturing facility for Advanced Volumetric Alliance (AVA). AVA will bring at least 110 new jobs to Albertville within its first two years, paying a median wage of over $27/hour. Construction on AVA's new 180,000 square-foot manufacturing   facility will begin this spring or summer.
TIF assistance would total up to $2.26 million in tax benefits.
DEED MIF $450K, JCF $175, plus local EDA TIF $2.26M</t>
  </si>
  <si>
    <t>Wood Products</t>
  </si>
  <si>
    <t>https://northwrightcounty.today/2021/03/city-of-albertville-approves-industrial-facility-for-towns-northwest-corner/</t>
  </si>
  <si>
    <t>MIF $450K, JCF $175, TIF $2.26M, JTIP (MJSP) $400K, ATIP (MJSP) $20K</t>
  </si>
  <si>
    <t>Kalera</t>
  </si>
  <si>
    <t>Kalera, an Orlando-based vertical farming company, purchased a facility in St. Paul. Karlera will invest $3.5 million to convert into its 8th growing facility, which will create about 70 new jobs. Kalera bought the former Urban Organics building for $3.65 million.
The St. Paul facility will grow millions of heads of lettuce per year for retailers and restaurants. Kalera's St. Paul location will shorten the travel time for greens from days to hours, preserving nutrients, freshness and flavor.
Update, May 2021: DEED MIF award $275K</t>
  </si>
  <si>
    <t>https://www.bizjournals.com/twincities/news/2021/03/15/kalera-st-paul-facility-millions-lettuce.html</t>
  </si>
  <si>
    <t>Andersen Windows and Doors</t>
  </si>
  <si>
    <t xml:space="preserve">Andersen Windows and Doors is looking to hire 1,000 workers this year for its three Twin Cities factories and other operations nationwide as a home improvement and housing construction boom drives demand for its products.
The 118-year-old company is looking to immediately add a total of 250 production workers to its headquarters and factory in Bayport and its manufacturing plants in Cottage Grove and North Branch, Minn. It also plans to hire another 750 workers nationwide in 2021. </t>
  </si>
  <si>
    <t>Wood Products, Fabricated Metal</t>
  </si>
  <si>
    <t>https://www.startribune.com/andersen-windows-marvin-look-to-add-1-500-workers-amid-housing-construction-boom/600037664/</t>
  </si>
  <si>
    <t>100 4th Ave N</t>
  </si>
  <si>
    <t>9900 Jamaica Ave S</t>
  </si>
  <si>
    <t>North Branch</t>
  </si>
  <si>
    <t>39811 Golden Ave</t>
  </si>
  <si>
    <t>Marvin Windows</t>
  </si>
  <si>
    <t>Warroad</t>
  </si>
  <si>
    <t>Roseau</t>
  </si>
  <si>
    <t>Competitor Marvin Cos. is seeing a similar spike in demand with the jump in housing construction. Marvin is looking to hire about 100 employees for its headquarters factory in Warroad, Minn., and 400 more nationwide.</t>
  </si>
  <si>
    <t>PO Box 100</t>
  </si>
  <si>
    <t>Pella</t>
  </si>
  <si>
    <t>Officials at Pella's Plymouth plant said the Iowa based company is also hiring, and plans to add 1,500 workers nationwide. Fewer than 100 of the new jobs will be in Minnesota.</t>
  </si>
  <si>
    <t>13810 24th Ave N # 430</t>
  </si>
  <si>
    <t>Ernst &amp; Young</t>
  </si>
  <si>
    <t>The U.K.-based professional services firm Ernst &amp; Young will lease 30,536 square feet of office space at the Dayton’s Project. Ernst &amp; Young’s space will be on the fifth floor of the 12-story building. The firm, which is based in the U.K., will house about 800 of its Minneapolis employees at the Dayton’s Project. Ernst &amp; Young currently has an office in the U.S. Bank Plaza on S. 6th Street.</t>
  </si>
  <si>
    <t>https://tcbmag.com/daytons-project-lands-ernst-young-as-first-office-tenant/</t>
  </si>
  <si>
    <t>700 Nicollet Mall</t>
  </si>
  <si>
    <t>JunoPacific (parent Cretex Cos, dba JunoPacific)</t>
  </si>
  <si>
    <t>Elk River-based Cretex Cos. on Friday announced plans for a 248,000-square-foot facility, with manufacturing and warehouse spaces, for medical-device components in Brooklyn Park. The project will break ground in April, with completion expected by the end of 2021.
Plan to consolidate manufacturing operations now spread out across 2 smaller Cretex facilities (Meier and JunoPacific) in Anoka. About 300 employees shift to the new worksite in 2022. 
DEED Awards: MIF $800K, JCF $840K</t>
  </si>
  <si>
    <t>OF, MFG, WH</t>
  </si>
  <si>
    <t>https://www.bizjournals.com/twincities/news/2021/03/26/cretex-cos-medical-manufacturing-brookly-park.html</t>
  </si>
  <si>
    <t>MIF $800K, JCF $840K</t>
  </si>
  <si>
    <t>Alter Logistics</t>
  </si>
  <si>
    <t>Freight transportation company Alter Logistics plans a $20 million expansion at its shipping terminal on the St. Paul riverfront, where it shifts bulk commodities like fertilizer and road salt on and off of river barges. Alter will also relocate its metal-recycling operation.
Alter aims to increase its capacity byabout one-third, loading or unloading an additional 300,000 to 400,000 short tons each year.
The economic impact is estimated at about $3.8M to $5.1M annually, once the expansion project is complete.</t>
  </si>
  <si>
    <t>https://www.bizjournals.com/twincities/news/2021/03/29/alter-logistics-plans-dock-expansion.html</t>
  </si>
  <si>
    <t>795 Barge Channel Rd</t>
  </si>
  <si>
    <t>Legend Cabinetry</t>
  </si>
  <si>
    <t>Legend Cabinetry bought the former Mid-Continent Cabinetry plant last spring and began operations there late last year. They invested $4 million to get the 164,000-SF facility ready, adding new machinery and equipment. Cabinets are made from birch, rotary cut veneer, and high density fiberboard.
Around 65 former Mid Continent employees were brought back. But the company needs more workers.</t>
  </si>
  <si>
    <t>https://www.woodworkingnetwork.com/news/woodworking-industry-news/former-mid-continent-cabinetry-plant-gives-birth-new-operation</t>
  </si>
  <si>
    <t>Woodworking Network</t>
  </si>
  <si>
    <t>67 E 2nd St</t>
  </si>
  <si>
    <t>2021-Q2</t>
  </si>
  <si>
    <t>Sensiva Health</t>
  </si>
  <si>
    <t xml:space="preserve">New Orleans-based Sensiva Health manufactures testing kits for Covid-19 and has signed a long-term lease at the Arbor Lakes Business Park in Maple Grove. Sensiva is leasing 52,888 square feet of space at the 10500 Arbor Lakes building in the park. The Maple Grove site will be Sensiva’s second location in the Midwest. The company also operates a facility in New Berlin, Wisconsin. Sensiva has corporate offices in Florida and South Carolina.
</t>
  </si>
  <si>
    <t>https://tcbmag.com/covid-19-test-maker-to-lease-space-at-maple-grove-business-park/</t>
  </si>
  <si>
    <t>10640 Fountains Dr</t>
  </si>
  <si>
    <t>SICK</t>
  </si>
  <si>
    <t>Sick AG, a German sensor manufacturer, hopes to begin construction by summer on the first phases of a multiyear, $100 million technology campus that could bring 700 jobs to Bloomington.
The project includes a 120,000-square-foot office and industrial building in the first phase.  Sick first announced expansion plans in 2019, but delayed the project some months later. Further delays arose due to the Covid-19 pandemic.
DEED Awards: $350K MIF.</t>
  </si>
  <si>
    <t>SunOpta will move to a new 65,000-square-foot  headquarters offices from Edina to Eden Prairie. SunOpta expects to begin work on the $20 million office project in May and move in by December. The move will double its total square footage and increasing space to R&amp;D operations. SunOpta's business includes developing soy- and nut-based milks for business clients.
SunOpta is legally headquartered in Canada, but its CEO and other leadership are based in Edina.</t>
  </si>
  <si>
    <t>https://www.bizjournals.com/twincities/news/2021/04/06/sunopta-executive-offices-eden-prairie.html</t>
  </si>
  <si>
    <t>7078 Shady Oak Road</t>
  </si>
  <si>
    <t>Horizontal Digital</t>
  </si>
  <si>
    <t>Digital solutions and talent firm Horizontal plans to lease another 12,000 SF of office space at its St. Louis Park headquarters. Horizontal's new space will accommodate 65 hires it made during the pandemic, and the majority of around 100 more hires the firm is likely to hire this year. The move will boost Horizontal's from about 40,000 SF to 52,000 SF of office space. As of March 10, Horizontal employed 178 workers locally and 1,045 companywide.</t>
  </si>
  <si>
    <t>https://www.bizjournals.com/twincities/news/2021/04/12/horizontal-plots-local-return-to-in-person-work.html</t>
  </si>
  <si>
    <t>1660 MN-100 #200</t>
  </si>
  <si>
    <t>Fidelity Investments</t>
  </si>
  <si>
    <t>Fidelity Investments Inc. wants to hire more financial planners and wealth management associates in the Twin Cities. 
The Boston-based financial services firm wouldn't provide a definitive number of anticipated local hires. It did say it will add 1,000 people across 20 markets, but that number may not be spread out evenly.
These new staff positions will be working remote. Fidelity has local offices in Minnetonka, Edina and Oakdale, where the new local hires can go into work on occasion.</t>
  </si>
  <si>
    <t>https://www.bizjournals.com/twincities/news/2021/04/13/fidelity-investments-plans-to-expand.html</t>
  </si>
  <si>
    <t>SiteKick</t>
  </si>
  <si>
    <t>SiteKick, based in Minneapolis, creates software designed to help construction companies boost efficiency by monitoring projects from afar. The software captures images from smart cameras and environmental readings from sensors at construction sites. 
SiteKick plans to use the $2.3 million in funding raised from private investors for sales and marketing, talent acquisition, streamlining, customer experience and operations, and general growth of the company,</t>
  </si>
  <si>
    <t>https://www.startribune.com/minneapolis-software-startup-gets-2-3m-in-funding-signs-ryan-cos-as-client/600045384/</t>
  </si>
  <si>
    <t>Becker</t>
  </si>
  <si>
    <t>Xcel Energy has unveiled plans for the largest solar-energy plant in Minnesota by far, a $575 million project in Becker adjacent to the company's Sherco coal-power complex. The solar plant would create 900 union construction jobs and provide enough electricity to power 100,000 Upper Midwest homes.
The big solar farm, still to be approved by the PUC, would be built in 2022 to 2024. Joint project with Edina-based National Grid Renewables (an arm of the British utility company National Grid). Xcel would own and operate the plant.</t>
  </si>
  <si>
    <t>U</t>
  </si>
  <si>
    <t>https://www.startribune.com/xcel-wants-to-build-575m-solar-plant-in-becker/600045438/</t>
  </si>
  <si>
    <t>Milk Moovement</t>
  </si>
  <si>
    <t>Canada-based Milk Moovement, which produces software to manage the raw milk supply chain, will open an office in Minneapolis. The office will enable further expansion across the US as interest and demand for its software continues to grow. Milk Moovement closed on a US$3.2 million funding round. Notable industry leader Richard Cargill, a member of Cargill’s Board of Directors, is also a personal angel investor.</t>
  </si>
  <si>
    <t>https://www.milkmoovement.com/blog/dairy-supply-chain-leader-raises-us-3-2-million</t>
  </si>
  <si>
    <t>Digital Mass</t>
  </si>
  <si>
    <t>Minneapolis tech firm Digital Mass, which specializes in the ubiquitous Salesforce software for business, moved into its new North Loop office Jan. 1. Digital Mass takes up a full floor at 515 N. Washington Ave. The 7,000-square-foot suite is roughly six times the size of its previous office, giving the fast-growing company room to expand. “We’ll probably be close to 35 to 40 people by the end of the year. We doubled last year, and we’re looking to double again this year</t>
  </si>
  <si>
    <t>https://www.bizjournals.com/twincities/news/2021/04/22/tech-firm-digital-mass-opens-north-loop-office.html</t>
  </si>
  <si>
    <t>515 N Washington Ave Suite 300</t>
  </si>
  <si>
    <t>Energy Management Collaborative (EMC)</t>
  </si>
  <si>
    <t>Energy Management Collaborative (EMC) plans to add jobs. The lighting technology company moved to a new facility at 2890 Vicksburg Ln. N. in 2018. EMC had hoped for a rapid expansion. However, the COVID-19 pandemic impacted business.
Now the company is ready to move forward with new product lines coming to market. It added 10 jobs this year and aims to add another 75 jobs by the end of the year.</t>
  </si>
  <si>
    <t>https://ccxmedia.org/news/companies-plan-expansion-job-growth-in-plymouth/</t>
  </si>
  <si>
    <t>2890 Vicksburg Ln N,</t>
  </si>
  <si>
    <t>Lifesprk</t>
  </si>
  <si>
    <t>St. Louis Park-based Lifesprk had the 17th-largest venture capital raise for a Twin Cities company in 2020, pulling in $16.1 million last March in a round led by California-based Virgo Investment Group. Minnetonka-based Cherry Tree &amp; Associates served as an adviser on the deal. The capital was used to invest in an electronic records system; boost hiring; and expand offerings to include Lifesprk GO!, a transportation service for seniors.</t>
  </si>
  <si>
    <t>Social Assistance</t>
  </si>
  <si>
    <t>https://www.bizjournals.com/twincities/news/2021/04/23/series-b-round-senior-care-company-lifesprk.html</t>
  </si>
  <si>
    <t>5320 W 23rd St Suite #130</t>
  </si>
  <si>
    <t>Trystar plans to consolidate the operations in the new Faribault facility. The project involves 50,000 SF expansion to existing facility (Cost of $2.75-$3.5m), capital improvements $750,000), Capital equipment (at least $1.7M), for total project cost of $5M. Expect to create 20 FT jobs over 2 years. Alternate site considered was Covington, Kentucky.
DEED Awards: JCF $175M, MIF $125K. Also EDA $100K. BDPI $2M to Faribault</t>
  </si>
  <si>
    <t>https://www.ci.faribault.mn.us/AgendaCenter/ViewFile/Item/11937?fileID=31486</t>
  </si>
  <si>
    <t>City of Faribault</t>
  </si>
  <si>
    <t>15675 Acorn Trail</t>
  </si>
  <si>
    <t>JCF $175M, MIF $125K, EDA $100K, BDPI $2M</t>
  </si>
  <si>
    <t>Puris, a producer of pea protein used in plant-based meat alternatives, expanded its office - with unique in-house lab space - in the 811 Glenwood building. About one-third of the footprint is for collaboration spaces; another one-third is for production-type activities, where there is e a pilot plant and development kitchen; and the remaining third consists of office space.Employees in the office: 50 (hybrid). Opened in April 2021</t>
  </si>
  <si>
    <t>OF, RD</t>
  </si>
  <si>
    <t>https://www.bizjournals.com/twincities/news/2022/04/14/cool-offices-puris.html</t>
  </si>
  <si>
    <t>811 Glenwood Ave</t>
  </si>
  <si>
    <t>Northstar Canoes</t>
  </si>
  <si>
    <t>In year two of the pandemic, Minnesota's canoe manufacturers and retailers are struggling to keep up with demand.  Princeton, Minn.-based Northstar Canoes increased its staff by over 50% and is on pace to increase its production by nearly 100% over the same time last year. 
"It comes down to how big of a building we have, how many employees we have and what we're capable of pulling off with our existing infrastructure," Bear Paulsen, General Manager of Northstar, said.</t>
  </si>
  <si>
    <t>Boats</t>
  </si>
  <si>
    <t>https://www.bizjournals.com/twincities/news/2021/05/04/canoe-manufacturers-rise-in-demand.html</t>
  </si>
  <si>
    <t>12636 320th Ave</t>
  </si>
  <si>
    <t>Edina-based tech company Sportsdigita has raised $5 million dollars to fuel a growth spurt that CEO Angelina Lawton says will double the firm's size by the end of the year.
Sportsdigita hopes to grow from its current 52 employees to over 100 by the end of the year. It's looking to open an office in Dallas. Sportsdigita's marquee product is Digideck, a cloud-based presentation tool that works like a flashier PowerPoint, including multimedia elements.</t>
  </si>
  <si>
    <t>https://www.bizjournals.com/twincities/inno/stories/fundings/2021/05/04/sportsdigita-raises-5m-double-in-size.html</t>
  </si>
  <si>
    <t>7650 Edinborough Way Suite 725</t>
  </si>
  <si>
    <t xml:space="preserve">The mayor of St. Cloud announced Amazon will open a delivery facility in the city, bringing hundreds of new jobs to the community.
With the facility expected to open later this year, the company has already begun the permitting process for what will be its second delivery station in Minnesota. </t>
  </si>
  <si>
    <t>https://finance-commerce.com/2020/10/new-lakeville-amazon-center-already-in-the-ground/</t>
  </si>
  <si>
    <t>4759 Heatherwood Road</t>
  </si>
  <si>
    <t>Alarm Products Distributors</t>
  </si>
  <si>
    <t xml:space="preserve">Alarm Products was outgrowing its property, which includes a 13,500-square-foot Class C office warehouse built in 1975 on 0.7 acres. The family put their property at 2350 Territorial Road in St. Paul on the market and looked for another location.   Alarm Products closed Wednesday on the $2 million purchase of the Kurt Meyer Building, a 41,300-square-foot Class B industrial building at 2341 St. Croix St. in Rosedale. </t>
  </si>
  <si>
    <t>https://finance-commerce.com/2021/05/just-sold-st-paul-sale-leads-to-deal-in-roseville/</t>
  </si>
  <si>
    <t>2350 W Territorial Rd</t>
  </si>
  <si>
    <t>Silk Road Medical</t>
  </si>
  <si>
    <t xml:space="preserve">DEED has awarded $625,000 in grants to assist Silk Road Medical Inc. with its first expansion outside of California, in Plymouth. Silk Road Medical, whose devices focus on reducing the risk of stroke and treatment of carotid artery disease, will come to Plymouth this fall. The company will invest $5.1 million in an approximately 30,000-square foot new manufacturing facility in Plymouth. Expect to create 67 new jobs over the next two years. 
DEED awards $175K JCF, $450K MIF.
</t>
  </si>
  <si>
    <t>https://www.bizjournals.com/twincities/news/2021/06/23/california-based-medtech-firm-expands-to-plymouth.html</t>
  </si>
  <si>
    <t>3905 Annapolis Ln N</t>
  </si>
  <si>
    <t>Entegris</t>
  </si>
  <si>
    <t>Adding Mezzanine for new offices. Build-out Cleanrooms and clean room spaces. Areas to support cleanrooms / office (Cafeteria, bathrooms)</t>
  </si>
  <si>
    <t>10851 LOUISIANA AVE S</t>
  </si>
  <si>
    <t>HomeSpotter</t>
  </si>
  <si>
    <t>Minneapolis app maker HomeSpotter acquired by Ontario tech firm
Lone Wolf Technologies can provide data to bring new services to market.  HomeSpotter has more than 45 employees and 450,000 users across North America. The addition of HomeSpotter gives Lone Wolf a strong foothold in the growing multibillion-dollar market for software focused on real estate transactions. Lone Wolf wants to invest in acquiring talent from the Minneapolis area.</t>
  </si>
  <si>
    <t>https://www.startribune.com/minneapolis-app-maker-homespotter-acquired-by-ontario-tech-firm/600055994/</t>
  </si>
  <si>
    <t>Ovative</t>
  </si>
  <si>
    <t>Ovative has 245 nationwide, of whom 210 are at the Minneapolis North Loop office across 3 floors. Since April 2019, Ovative has added 123 employees. Ovative plans to add the eighth floor, which will add 19,150 square feet and room to accommodate up to 314 employees. Ovative hopes to reach that number of employees in the next couple of years. Ovative uses its technology to help firms understand the holistic impact of their efforts, including things like brick-and-mortart sales.</t>
  </si>
  <si>
    <t>Marketing</t>
  </si>
  <si>
    <t>https://www.bizjournals.com/twincities/news/2021/05/11/ovative-doubled-since-2019.html</t>
  </si>
  <si>
    <t>729 N Washington Ave floor 10</t>
  </si>
  <si>
    <t>NetSPI works with companies to thwart cyberattacks and has raised $90 million in minority investments from KKR and Ten Eleven Ventures.
The new infusion of capital will help the 225-employee software firm develop and improve products, add clients and hire more people. 
NetSPI, based in downtown Minneapolis, has grown year-over-year revenue by 50% so far compared with 2020, and expects to finish the year with about $50 million in 2021 sales.</t>
  </si>
  <si>
    <t>https://www.startribune.com/netspi-a-minneapolis-cyber-security-firm-raises-90-million-new-investors/600056465/?refresh=true</t>
  </si>
  <si>
    <t>Warranty Platform Upsie Raises $18.2M
Founder Clarence Bethea hopes his success will encourage other Black entrepreneurs.  Upsie plans to use the new funds to double its staff of 16, increase customer awareness and product offerings.
“The pandemic sped up the inevitable,” Bethea said of consumers shopping online. “We knew customers wanted more control over warranty purchases. This is a $22 billion opportunity.”</t>
  </si>
  <si>
    <t>https://tcbmag.com/warranty-platform-upsie-raises-18-2m/</t>
  </si>
  <si>
    <t>Vector Windows Inc</t>
  </si>
  <si>
    <t>Fergus Falls</t>
  </si>
  <si>
    <t>Vector added 25 jobs in 2021 and this summer, plans to add to the second shift with 20 additional job openings. These increases lead to adding and remodeling 14 new offices, adding an conference room, and expanding the employee breakroom. Other facility improvements include adding 4 new dock doors for shipping out the increased volume of products and leasing 22,000 sq. feet of warehouse space (since April 2020) in addition to the current manufacturing facility.</t>
  </si>
  <si>
    <t>https://www.facebook.com/VectorWindows/posts/4156483871054823?comment_id=4166164910086719&amp;reply_comment_id=4166506023385941</t>
  </si>
  <si>
    <t>Company Facebook page</t>
  </si>
  <si>
    <t>1020 International Dr</t>
  </si>
  <si>
    <t>North Freeze Dry LLC</t>
  </si>
  <si>
    <t>The Little Falls City Council approved a tax increment financing (TIF) district for North Freeze Dry, LLC. The new company is a joint venture of Barrett Petfood Innovations and Anchor Ingredients.
The new 87,000-square-foot manufacturing facility in Little Falls will make shelf-stable, freeze-dried pet food. It is an estimated $30 million project that will create 57 jobs over 3 years. ?Construction needs to be completed by Dec. 31, 2022.</t>
  </si>
  <si>
    <t>https://www.hometownsource.com/morrison_county_record/north-freeze-dry-gets-approval-to-build-new-facility/article_3d072a66-ba01-11eb-89e5-078dbb7e48bd.html</t>
  </si>
  <si>
    <t>Hometown Source (Morrison County Record)</t>
  </si>
  <si>
    <t>15657 18th St NE</t>
  </si>
  <si>
    <t>JCF $175K, MIF $375K, TIF ($235.6K)</t>
  </si>
  <si>
    <t>Gopher Resource</t>
  </si>
  <si>
    <t>Construction Permit City of Eagan for "New pre-cast building".  Gopher Resource is a recycling facility. Gopher Resource directs most operations from Eagan, Minnesota. Our Eagan recycling facility has remained in the same location since opening in 1946. Other facilities are in Tampa FL.</t>
  </si>
  <si>
    <t>https://epermits.logis.org/permits/permitdetails.aspx?city=ea&amp;permitnbr=EA168281</t>
  </si>
  <si>
    <t>685 Yankee Doodle Road</t>
  </si>
  <si>
    <t xml:space="preserve">To keep up with demand for its virtual photo and video shoot services, Minneapolis-born Soona has leased 13,000 square feet of real estate in the Twin Cities for a digital fulfillment studio. Soona secured $10.2 million in a Series A round of funding to support the expansion last month. The fresh capital will also be used to hire at least 60 additional employees in Minneapolis, and adding staff to its growing Denver and Austin teams. </t>
  </si>
  <si>
    <t>Photography</t>
  </si>
  <si>
    <t>https://www.startribune.com/photo-service-firm-soona-s-expansion-includes-adding-60-workers-in-minneapolis/600062917/</t>
  </si>
  <si>
    <t>320 E Hennepin Ave</t>
  </si>
  <si>
    <t>Lucy (Equals 3)</t>
  </si>
  <si>
    <t>AI company Equals 3 Inc.,dba Lucy, has closed on a $3 million round of venture capital. Lucy is also the name of an AI platform that uses IBM Watson to help Fortune 500 companies manage their data.
The Minneapolis-based firm has 28 employees now, which is expected to double by the end of 2021 with the funding. It will especially look to grow its marketing and sales teams as it aims for 500% growth over the next 18 to 24 months.</t>
  </si>
  <si>
    <t>https://www.bizjournals.com/twincities/news/2021/06/01/ai-firm-lucy-raises-3-million-dallas-venture-cap.html</t>
  </si>
  <si>
    <t>6465 Wayzata Blvd #220</t>
  </si>
  <si>
    <t>Old Dominion Freight Line (ODFL)</t>
  </si>
  <si>
    <t>Launch Park Third Addition was approved during the June 7 City Council meeting. This development project proposes to construct a 43,300-square-foot office and transload facility to be owned and occupied by Old Dominion Freight Line. The site is located near Cedar Avenue and 222nd Street West.
Update: Opened in June 2022</t>
  </si>
  <si>
    <t>https://www.lakevillemn.gov/ArchiveCenter/ViewFile/Item/1096</t>
  </si>
  <si>
    <t>City of Lakeville</t>
  </si>
  <si>
    <t> 7380 222nd Street West</t>
  </si>
  <si>
    <t>Nextek</t>
  </si>
  <si>
    <t>Financial services software company Nextek recently expanded its footprint in the Twin Cities with the opening of its new corporate headquarters at a former medical office building in Shoreview.
Nextek, part of the Arden Hills-based Gradient Financial Group, moved into the 20,000-square-square foot building that was renovated before the move. Mayor Sandy Martin said the company has “a growth plan that estimates as many as 100 employees in the future.</t>
  </si>
  <si>
    <t>https://finance-commerce.com/2021/06/nextek-opens-new-hq-space-in-shoreview/</t>
  </si>
  <si>
    <t>4625 Churchill Street</t>
  </si>
  <si>
    <t>Collagen Solutions US LLC</t>
  </si>
  <si>
    <t>Collagen Solutions develops, manufactures and supplies medical-grade collagen biomaterials.  They plan to lease a building at 6455 City West Parkway in Eden Prairie; invest $15,9 million in building renovations and euqipment; and expand its operations and create 20-25 new high-value manufacturing, technical, and professional jobs over the next three years. This would be the first investment in US-based manufacturing operations by Collagen Solutions and its UK-based parent.
DEED JCF Award 11/19/2021: $175,000</t>
  </si>
  <si>
    <t>https://www.edenprairie.org/city-government/city-council/city-council-meetings</t>
  </si>
  <si>
    <t xml:space="preserve"> 6575 City W Pkwy,</t>
  </si>
  <si>
    <t>Rosen's Diversified</t>
  </si>
  <si>
    <t>Glasgow</t>
  </si>
  <si>
    <t>U.K.</t>
  </si>
  <si>
    <t>Northland Cheese (aka Performance Food Group) Company</t>
  </si>
  <si>
    <t>The Benton Economic Partnership, alongside the City of Rice and Benton County, announced June 16 that Performance Food Group will expand its Northland Cheese operation, which includes a more than $12 million capital investment in a facility expansion (expected to begin this summer) and new equipment. The change will create at least 22 jobs, according to a release from Benton Economic Partnership, Inc
DEED Awards: JCF $175K, MIF $300K</t>
  </si>
  <si>
    <t>https://www.sctimes.com/story/money/business/2021/06/21/northland-cheese-rice-plans-expansion-facility-and-add-jobs/7771785002/</t>
  </si>
  <si>
    <t>625 Division St. North</t>
  </si>
  <si>
    <t>JCF $175K, MIF $300K</t>
  </si>
  <si>
    <t>ABV Technology</t>
  </si>
  <si>
    <t xml:space="preserve">ABV Technology makes equipment to produce nonalcoholic beer and hard seltzer.
The company moved into about 10,000 square feet of office and manufacturing space in St. Paul, nearly four times bigger than its previous location, on a seven-year lease. They consolidated operations for research and development, its service center and machine assembly and manufacturing at the new space. 14 employees. </t>
  </si>
  <si>
    <t>https://www.startribune.com/expanding-st-paul-companys-machines-remove-alcohol-from-beer-then-make-hard-seltzer/600070603/</t>
  </si>
  <si>
    <t>1435 Energy Park Dr</t>
  </si>
  <si>
    <t>Greentech Manufacturing</t>
  </si>
  <si>
    <t>The City of International Falls was awarded $122,084 to assist with relocating a sanitary sewer main to allow Greentech Manufacturing to expand. The company is investing $750,000 into a 10,000 square foot expansion that will allow them to grow from 60 to 70 full time employees. Total cost of the sewer relocation project is $ 267,769.
Greentech Manufacturing manufactures outdoor furnaces known as Crown Royal Stoves, along with a full line of hydronic unit heaters and air handlers.</t>
  </si>
  <si>
    <t>https://www.rainylakegazette.com/2021/12/15/make-way-for-expansion-city-to-assist-greentech/</t>
  </si>
  <si>
    <t>Rainy Lake Gazette</t>
  </si>
  <si>
    <t>2716 Crescent Dr</t>
  </si>
  <si>
    <t>Miromatrix Medical</t>
  </si>
  <si>
    <t xml:space="preserve">Miromatrix Medical uses biotechnologies to remove all cells from discarded pig organs and implant human cells into the emptied organ to create fully transplantable livers and kidneys. Miromatrix anticipates raising $43.2 million. The proceeds will largely fund R&amp;D work through 2023, including  launching a clinical trial. About $3 million to $4 million cover building a new facility.
Update: In March 2022, Miromatrix opened its new 42,000-sqft office, complete with a 11,000-sqft in-house manufacturing facility. </t>
  </si>
  <si>
    <t>HQ, MF, RD</t>
  </si>
  <si>
    <t>https://www.fiercebiotech.com/medtech/miromatrix-goes-hog-wild-upsized-43m-ipo-to-bioengineer-pig-organs-into-human-transplants</t>
  </si>
  <si>
    <t>Fierce Biotech</t>
  </si>
  <si>
    <t>6455 Flying Cloud Dr</t>
  </si>
  <si>
    <t>Quality One Woodwork</t>
  </si>
  <si>
    <t>Construction is scheduled to start next month on Quality One Woodwork LLC’s expansion to its existing facility. Quality One will construct a 52,000-square-foot addition to its building on the new site. With the expansion, the company will add 35 full-time employees to its team.</t>
  </si>
  <si>
    <t>https://finance-commerce.com/2021/06/hastings-business-park-lands-3-developments/</t>
  </si>
  <si>
    <t xml:space="preserve">3005 Millard Ave. </t>
  </si>
  <si>
    <t>EDA (Industrial Land Credit Program)</t>
  </si>
  <si>
    <t>Radisson Hotel Group</t>
  </si>
  <si>
    <t>Radisson Hotel Group Americas will move its headquarters next year from Minnetonka into the newly completed 10 West End building in St. Louis Park, officials announced this week.
The long-term lease will give the expanding hotel operator 36,000 square feet of space in the new speculative 11-story building that Ryan Cos. and Excelsior Group began constructing in late 2019 and finished in January 2021.</t>
  </si>
  <si>
    <t>https://www.startribune.com/radisson-hotel-americas-moves-hq-to-st-louis-parks-new-10-west-end-building/600073148/</t>
  </si>
  <si>
    <t>1601 Utica Ave S</t>
  </si>
  <si>
    <t>Switchback Medical makes custom products primarily for the medical device industry. The company plans to invest $10 million to move and expand its HQ and manufacturing facilities into a 120,000-square-foot  building at 7625 Boone Ave. N. in Brooklyn Park with the help of state funds.
Switchback Medical employs 70 people in Maple Grove and expects to create 90 new jobs with the move.  Switchback Medical had also considered relocating to Wisconsin.
DEED awards 7/30/21: JCF $175K, MIF $400K</t>
  </si>
  <si>
    <t>https://ccxmedia.org/news/medical-device-manufacturer-seeks-400k-in-state-funds-for-brooklyn-park-move/</t>
  </si>
  <si>
    <t>7625 Boone Ave. N</t>
  </si>
  <si>
    <t>JCF $175K, MIF $400K</t>
  </si>
  <si>
    <t>BetterYou</t>
  </si>
  <si>
    <t>St. Paul app maker BetterYou raises $2.25 million
The company created an app that encourages users to build healthy habits. The new funding will enable BetterYou to invest in product enhancements, double employment to about 25 and hit annualized revenue of $3 million within a couple years. BetterYou is a software app designed to help people quit squandering unproductive time on technology, such as mindless scrolling around social media or e-mail.</t>
  </si>
  <si>
    <t>https://www.startribune.com/st-paul-app-maker-betteryou-raises-2-25-million/600073549/</t>
  </si>
  <si>
    <t>370 Wabasha Ave N</t>
  </si>
  <si>
    <t>2021-Q3</t>
  </si>
  <si>
    <t>Adhue Graphic Resources</t>
  </si>
  <si>
    <t>Adhue Graphic Resources purchased a vacant 45,600-square-foot building in Blaine for $3.15 million. Adhue will move July 12 to its new site from nearly 24,000 square feet of leased space elsewhere in Blaine. Founded in 1993, Adhue is a leading supplier of printable plastics and pressure-sensitive products for screen printing, packaging and manufacturing companies.</t>
  </si>
  <si>
    <t>https://finance-commerce.com/2021/07/just-sold-two-growing-companies-find-space/</t>
  </si>
  <si>
    <t>10355 Naples St. NE</t>
  </si>
  <si>
    <t>Parallax</t>
  </si>
  <si>
    <t>Parallax closed on a Series A round of funding this week, which brings the company's value to $33 million. Parallax, has about 30 employees rand close to 50 users of its platform in North America and Europe. Parallax primarily serves software consulting and digital agencies.  Parallax is ahead of a plan to triple its 2020 sales revenue.
The funding will be used to hire software engineers and data scientists.</t>
  </si>
  <si>
    <t>https://www.startribune.com/edina-tech-firm-which-helps-other-firms-predict-business-closes-on-funding-round/600074349/?refresh=true</t>
  </si>
  <si>
    <t>4600 W 77th St Ste 390</t>
  </si>
  <si>
    <t>Bushel Boy Farms</t>
  </si>
  <si>
    <t>In June, Bushel Boy Farms rolled out a new product to sell alongside its popular tomatoes. Thanks to an 80,000-square-foot expansion to their greenhouse space used for R&amp;D, Bushel Boy is now also growing strawberries.</t>
  </si>
  <si>
    <t>https://www.southernminn.com/owatonna_peoples_press/news/article_a3800b3e-4b8f-5b30-a8e9-cf410f2f731a.html</t>
  </si>
  <si>
    <t>215 NW 32nd Ave</t>
  </si>
  <si>
    <t>FLOE International</t>
  </si>
  <si>
    <t xml:space="preserve">FLOE International, headquartered in McGregor, Minn., will be relocating to  5540 Colby Lake Road, Hoyt Lakes over the next 3-6 months from its former facility in Hoyt Lakes where it has been since 1994.. 
FLOE manufacturers and distributes world-class dock and boat lift systems, utility and recreational trailers. The new facility is more modern facility, and with room for growth at 27,700 square feet. Currently FLOE has 21 employees, and plans to continue growing as an employer. </t>
  </si>
  <si>
    <t>http://www.businessnorth.com/around_the_region/floe-international-expands-its-hoyt-lakes-facility-in-a-new-location/article_3254c5ba-e00d-11eb-a2ca-7340e207e93a.html</t>
  </si>
  <si>
    <t xml:space="preserve"> 5540 Colby Lake Road, </t>
  </si>
  <si>
    <t>Burgeoning demand for corrugated paper products is driving North Star Sheet's expansion. North Star Sheets makes corrugated sheets used for making boxes for packaging. It plans to add 35,600 SF of space to its 168,000 SF manufacturing facility in Cottage Grove.
North Star also will add 4.5 acres of land to its industrial park footprint and use the space for another rail spur. The majority of paper rolls used in the production process gain entry to company site by way of the rail spur. North Star employs 85 people.</t>
  </si>
  <si>
    <t>Paper</t>
  </si>
  <si>
    <t>https://finance-commerce.com/2021/07/paper-products-manufacturer-to-expand-in-cottage-grove/</t>
  </si>
  <si>
    <t>7550 91st St. S</t>
  </si>
  <si>
    <t xml:space="preserve">Uponor North America will invest in a $5 million expansion is also planned for the company's Lakeville distribution center. Construction to add 57,000 square feet to the Lakeville Distribution Center will begin in August and is scheduled for completion in June 2022. Uponor will also invest in a $5 million expansion of its Hutchinson facility. These will be the company’s 12th and 13th expansions in North America since 1990. </t>
  </si>
  <si>
    <t>https://uponor.greenhousedigitalpr.com/lakeville-and-hutchinson-expansion/</t>
  </si>
  <si>
    <t>21900 Dodd Blvd</t>
  </si>
  <si>
    <t xml:space="preserve">Uponor will invest in a $5 million expansion of its Hutchinson facility. This expansion will create an additional 25,000 square feet of manufacturing space and is expected to be complete in May 2022. Another $5 million expansion is also planned for the company's Lakeville distribution center. These will be the company’s 12th and 13th expansions in North America since 1990. </t>
  </si>
  <si>
    <t>500 Technology Dr NE</t>
  </si>
  <si>
    <t>Associated Wholesale Grocers</t>
  </si>
  <si>
    <t xml:space="preserve">Grocer Coborn's has a new primary wholesaler -- Kansas City-based Associated Wholesale Grocers -- who's entering the Minnesota marketwith big expansion plans. AWG is moving into a 316,000-square-foot space in St. Cloud, which will become AWG's new Upper Midwest Division HQ. Project will create 114 jobs paying on average $23.44, and will invest $75 million. Shipments from there will begin in early 2022. Additional facilities in Minnesota are planned in locations TBD.
DEED: JCF Award $175K. </t>
  </si>
  <si>
    <t>https://www.bizjournals.com/twincities/news/2021/07/16/coborns-associated-wholesale-grocers-st-cloud.html</t>
  </si>
  <si>
    <t>6401 8th Ave S</t>
  </si>
  <si>
    <t>Lower Level Training Center Donaldson (Bloomington Construction Permit)</t>
  </si>
  <si>
    <t>https://www.bloomingtonmn.gov/bldg/permit-status-inspection-results-and-monthly-building-reports</t>
  </si>
  <si>
    <t>1400 W 94TH ST</t>
  </si>
  <si>
    <t>Huntington Bancshares (formerly TCF)</t>
  </si>
  <si>
    <t>Huntington Bank is also growing our Business Banking and Middle Market teams which will lead to anywhere between 50 to 75 additional positions in the Twin Cities market. Minnesota will continue to be an important market for Huntington and be a focus for further growth and expansion. Huntington now has approximately 1,200 staffers in the Twin Cities.</t>
  </si>
  <si>
    <t>https://tcbmag.com/huntington-bancshares-has-15-fewer-tcf-employees-than-before-merger/</t>
  </si>
  <si>
    <t>Fed Ex</t>
  </si>
  <si>
    <t>Minneapolis, Maple Grove</t>
  </si>
  <si>
    <t>With increased demand for online deliveries, FedEx Ground is looking to add new positions in Minnesota in the coming months. 
FedEx officials say the biggest hiring needs are for package handlers.
FedEx Ground plans to hire "more than 950 team members" at its facilities in Minneapolis and Maple Grove. Positions are part-time and full-time.</t>
  </si>
  <si>
    <t>https://www.kare11.com/amp/article/news/local/fedex-ground-plans-to-hire-nearly-1000-in-minneapolis-maple-grove/89-09f65ade-1b32-4298-a58e-1c427f1444b5</t>
  </si>
  <si>
    <t>Merchology</t>
  </si>
  <si>
    <t>Merchology, the online retailer of company-branded merchandise, just acquired a 90,000-square-foot building in Plymouth for its new headquarters and opened its third production facility 
They now employ about 200 employees, including 60 new ones added over the past 2 months. The company will relocate to the new HQ next spring, after renovations are completed. Merchology headquarters are currently located in Minnetonka.</t>
  </si>
  <si>
    <t>https://www.bizjournals.com/twincities/news/2021/07/27/merchology-new-headquarters-production-facility.html?utm_source=st&amp;utm_medium=en&amp;utm_campaign=me&amp;utm_content=mn&amp;ana=e_mn_me&amp;j=24577498&amp;senddate=2021-07-28</t>
  </si>
  <si>
    <t> 2950 Niagara Lane</t>
  </si>
  <si>
    <t>Delta Air Lines</t>
  </si>
  <si>
    <t xml:space="preserve">Ed Bastian, CEO of Atlanta-based Delta said that Delta would add 5,000 workers companywide, including more than 3,000 in airport customer-service roles. </t>
  </si>
  <si>
    <t>https://www.bizjournals.com/twincities/news/2021/07/28/delta-basic-economy-fee-change-travel.html</t>
  </si>
  <si>
    <t>Niron Magnetics</t>
  </si>
  <si>
    <t>Niron Magnetics is planning to use $21.3 million in fresh capital from investors to build a magnet-producing factory in the state. The heightened demand for electric vehicles has increased global dependency on rare earth materials required for magnets that go into electric drivetrains and motors. Niron is leveraging iron and nitrogen to deliver better performance and lower costs, while eliminating the need for rare earth content in magnets. The new plant will be 20,000 SF, located within the Twin Cities, and completed in early 2022.</t>
  </si>
  <si>
    <t>https://www.startribune.com/university-of-minnesota-spinout-niron-magnetics-raises-21-3m-to-build-new-facility/600082736/</t>
  </si>
  <si>
    <t>650 Taft St NE UNIT 400</t>
  </si>
  <si>
    <t>Qorvo Biotechnologies LLC</t>
  </si>
  <si>
    <t xml:space="preserve">North Carolina-based Qorvo is expanding its biotechnology R&amp;D and sales operation in Plymouth. Qorvo plans to increase its footprint by 13,500 square feet at a cost of $1.9 million and to create 54 new jobs.
The National Institutes of Health (NIH) awarded Qorvo Biotechnologies a $24.4 million contract to help advance the production and market launch of the Qorvo Omnia™ Covid-19 rapid antigen diagnostic test platform that uses high frequency Bulk Acoustic Wave sensors. 
JCF Award $175K. </t>
  </si>
  <si>
    <t>https://www.qorvo.com/newsroom/news/2021/qorvo-biotechnologies-awarded-24-million-national-institutes-health-scale-covid-19-antigen-testing</t>
  </si>
  <si>
    <t>14505 21st Ave. N</t>
  </si>
  <si>
    <t>Weframe</t>
  </si>
  <si>
    <t>Munich-based Weframe, which has its U.S. headquarters in Minneapolis, has developed a next-generation meeting room technology "Sessionboard" that is a cloud-based touchscreen-based product that works across virtual and in-person meetings.  Weframe doesn't sell its hardware. Instead, it installs the Sessionboard for free and collects revenue on a pay-per-use basis. Weframe currently has three employees in Minneapolis, but plans on growing the team tenfold in the coming year.</t>
  </si>
  <si>
    <t>https://www.bizjournals.com/twincities/news/2021/07/30/weframe-session-board-hybrid-workers.html</t>
  </si>
  <si>
    <t xml:space="preserve"> 801 S. Marquette Ave, Suite 200.</t>
  </si>
  <si>
    <t>Phillips &amp; Temro</t>
  </si>
  <si>
    <t>About 50 employees work on Phillips &amp; Temro’s electric-vehicle products, which in addition to the battery heaters, include chargers and systems that allow over-the-road truckers to heat and cool their cabins without idling overnight.  Phillips &amp; Temro expects to add 200-500 more employees to its electric business in the next three to five years. 
Phillips &amp; Temro’s core business still supports traditional internal combustion transportation and employs about 350 employees in Eden Prairie.</t>
  </si>
  <si>
    <t>https://www.hometownsource.com/sun_sailor/community/eden_prairie/as-state-promotes-electric-cars-eden-prairie-company-embraces-change/article_9e9cbc38-f47f-11eb-afae-c7f0c1b6c43d.html</t>
  </si>
  <si>
    <t>9700 West 74th St</t>
  </si>
  <si>
    <t>Skywater Technology</t>
  </si>
  <si>
    <t>SkyWater Technology, the largest semiconductor maker in Minnesota, has a five-year plan to reach the profitability levels of chip industry leaders. For the next year, profits would be constrained as SkyWater spends $56 million on new production capacity, in part to overcome industry shortages. This will lead to sustained sales growth and higher profit margins in coming years.  SkyWater will also expand its small chip factory in Florida. They aim to double total output over the next 18 to 24 months.</t>
  </si>
  <si>
    <t>https://www.startribune.com/chipmaker-skywater-spends-to-expand-production-capacity-amid-industry-shortage/600084758/</t>
  </si>
  <si>
    <t>Suma Brands</t>
  </si>
  <si>
    <t>Excelsior</t>
  </si>
  <si>
    <t>Suma Brands was founded in May 2020.  The company said it's hiring e-commerce, brand-management and supply chain talent to expand its operating platform. The company is also planning offices in New York City and Los Angeles. 
The Minneapolis companywants to turn Amazon brands into household names — and just landed a $150M investment.</t>
  </si>
  <si>
    <t>https://www.bizjournals.com/twincities/news/2021/08/04/suma-brands-stealth-mode-amazon-fullfillment-biz.html</t>
  </si>
  <si>
    <t>545 2nd Street #435</t>
  </si>
  <si>
    <t>The Outdoor Greatroom Company LLC</t>
  </si>
  <si>
    <t>A new 158,000-square-foot light industrial building at the southwest corner of County Road 70 and Dodd Boulevard is under construction. The Outdoor GreatRoom Company is anticipated to occupy 95,000 square feet upon building completion. The Outdoor GreatRoom Company received a Job Creation Fund grant of $160K for the project. The company manufactures outdoor furniture, fire pit tables and other outdoor furnishings. 
DEED JCF Award $160,000.</t>
  </si>
  <si>
    <t>https://www.lakevillemn.gov/ArchiveCenter/ViewFile/Item/1173</t>
  </si>
  <si>
    <t>City of Lakeville, DEED</t>
  </si>
  <si>
    <t>9583 217th Street</t>
  </si>
  <si>
    <t>New Flyer</t>
  </si>
  <si>
    <t>Crookston</t>
  </si>
  <si>
    <t>The Crookston City Council agreed to support New Flyer's application for the Minnesota Investment Fund (MIF) program about an expansion at their facility. New Flyer is looking to add 35 new jobs with their expansion. The city would be requesting $280,000 based on the final job growth projections.</t>
  </si>
  <si>
    <t>https://www.crookstontimes.com/story/news/politics/2021/08/10/city-crookston-assist-new-flyer-expansion-grant-application/5552693001/</t>
  </si>
  <si>
    <t>Due to increased production needs, Vector Windows is in the process of purchasing land for a potential new building in Fergus Falls.
About 60% of products manufactured by Vector, founded in 1995, are custom-sized windows in custom varieties.  Vector uses robotic technology to combine two panes of glass with a space and replace the air between them. The robots each cost $1.5 million price but freed up 8 workers to work elsewhere as the company continues to grow. DEED JCF Award $175,000.</t>
  </si>
  <si>
    <t>Company Facebook page, DEED</t>
  </si>
  <si>
    <t>Mayo Clinic</t>
  </si>
  <si>
    <t xml:space="preserve">Mayo Clinic plans to double the size of its proton-beam therapy facility, a project that is expected to cost $200 million.
Mayo will add 110,000 SF to the Eisenberg Building - which is adjacent to its existing 100,000 SF facility in the Richard O. Jacobson Building. The expansion will add two new treatment rooms (for a total of six), expanding capactiy by 900 patients per year. The expansion will add 117 new jobs.  Completion is expected in 2025.
Update 10/2022: Received $100 million gift from the Fred C. and Katherine B. Andersen Foundation to expand radiation treatment center. </t>
  </si>
  <si>
    <t>https://www.bizjournals.com/twincities/news/2021/08/17/mayo-clinic-proton-beam-expansion.html</t>
  </si>
  <si>
    <t>100 2nd St NW</t>
  </si>
  <si>
    <t>Milk Specialties Company</t>
  </si>
  <si>
    <t>Clara City</t>
  </si>
  <si>
    <t>Milk Specialties Global (MSG), a manufacturer of nutritional food ingredients, acquired the 96,000-square-foot, gluten-free certified Kay’s Processing facility, located in Clara City, MN. MSG will expand operations this facility to accommodate demand for extruded protein products. Current employees (hovering just below 30) at the facility have received offers to keep their jobs and 55 more jobs will be created in the future to support production expansion. DEED JCF Award $175K, MIF Award $450K.</t>
  </si>
  <si>
    <t>https://www.milkspecialties.com/milk-specialties-global-acquires-kays-processing-inc/</t>
  </si>
  <si>
    <t>Company website, DEED</t>
  </si>
  <si>
    <t>100 1ST Ave SE</t>
  </si>
  <si>
    <t xml:space="preserve">Huntington Bancshares Inc. is bringing its wealth management services to the Twin Cities; these services weren't offered by TCF Bank. Huntington Bank is looking to hire roughly two dozen private bankers, trust managers, retirement specialists and other related positions - on top of the 75 people being hiring for Huntington's small-business banking business. It wants to have its hiring done by the end of the first quarter in 2022. </t>
  </si>
  <si>
    <t>https://www.bizjournals.com/twincities/news/2021/08/18/huntington-tcf-wealth-management.html</t>
  </si>
  <si>
    <t>Branch is a Minneapolis-based tech firm aimed at helping employers speed up paydays for workers. Branch has raised $48 million from investors and lined up a $500 million credit facility to fund its own growth.  The deals will help Branch further develop its software and step up its own hiring; CEO Atif Siddiqi told the Star Tribune the company plans to double its workforce to 200 people in the next year; half the hires will be in Minnesota.</t>
  </si>
  <si>
    <t>Fintech</t>
  </si>
  <si>
    <t>https://www.bizjournals.com/twincities/news/2021/08/19/branch-raises-more-cash-credit.html</t>
  </si>
  <si>
    <t>Rapid Robotics</t>
  </si>
  <si>
    <t>Rapid Robotics, a San Francisco Bay area robotics company, will open a new office in Minneapolis by the end of the year. Rapid plans to employ 10 people in Minneapolis (unspecified location). Rapid created the Rapid Machine Operator (RMO) that performs common machine-tending tasks for manufacturers. The use of RMOs can aid in overcoming the “crippling” labor shortages. The robot is available for a $2,100 monthly subscription, a fraction of the cost of conventional robotics.</t>
  </si>
  <si>
    <t>https://finance-commerce.com/2021/08/rapid-robotics-to-open-minneapolis-office/</t>
  </si>
  <si>
    <t>Chasing Our Tails</t>
  </si>
  <si>
    <t>Sleepy Eye</t>
  </si>
  <si>
    <t>Chasing Our Tails, a maker of pet treats, has acquired a former food processing plant in Sleepy Eye for $2.6 million.
Chasing Our Tails is relocating from New Hampshire to Minnesota. They hope to be operational by October.
 "We're going to bring all of our packaging, warehouse and distribution to Sleepy Eye and this will become the world headquarters. We have a rail spur at this site, hundreds of thousands of square feet of space." They expect to employ several dozen people when operations are set up later this fall.</t>
  </si>
  <si>
    <t>https://www.bizjournals.com/twincities/news/2021/08/24/pet-food-business-buys-del-monte-plant.html</t>
  </si>
  <si>
    <t>100 9th Ave SW</t>
  </si>
  <si>
    <t>Industrial Fabrics Corporation (dba Clear Edge Filtration)</t>
  </si>
  <si>
    <t xml:space="preserve">Clear Edge Filtration (aka Industrial Fabrics Corp), a global leader in industrial filtration products and filter media, will expand their plant in Brooklyn Park at a cost of $695,000 to accommodate continuing growth and future market developments. With engineering expertise in designing, testing and prototyping, this plant will also facilitate technical support, patent of products, and new product development.
DEED: Will create 47 new jobs. MIF Award $125,000. </t>
  </si>
  <si>
    <t>https://www.clear-edge.com/news/clear-edge-filtration-announces-expansion-of-its-minnesota-facility/</t>
  </si>
  <si>
    <t>7160 Northland Cir N Ste B</t>
  </si>
  <si>
    <t>Clear Edge Filtration Germany GmbH</t>
  </si>
  <si>
    <t>Aggressive Hydraulics</t>
  </si>
  <si>
    <t>East Bethel</t>
  </si>
  <si>
    <t xml:space="preserve">Aggressive Hydraulics, based in East Bethel, is expanding again.
Aggressive has broken ground on a 40,000-square-foot expansion to the East Bethel plant, which has become constrained at its current size of 60,000 square feet. East Bethel is providing a tax-increment loan for site preparation to support the $3 million expansion.
Aggressive designs and manufactures hydraulic cylinders for new and used equipment and trucks. </t>
  </si>
  <si>
    <t>https://www.startribune.com/st-anthony-aggressive-hydraulics-started-by-laid-off-factory-workers-20-years-ago-is-expanding-again/600092039/?refresh=true</t>
  </si>
  <si>
    <t>18800 Ulysses St NE</t>
  </si>
  <si>
    <t>Birds Eye</t>
  </si>
  <si>
    <t xml:space="preserve">Conagra is investing in a $250 million 250,000 SF frozen food plant is for its subsidiary Birds Eye. The new state-of-the-art facility replaces an aging smaller plant in Waseca and will focus on freezing and packaging sweet corn and peas grown within 50 miles. Construction began in Fall 2020. The facility should open next June. 
The current plant has 165 employees and 275 seasonal workers. The new facility retains 120 jobs and 200 seasonal jobs. The city of Waseca, Waseca County and the state of Minnesota provided financial assistance. </t>
  </si>
  <si>
    <t>Retained 120</t>
  </si>
  <si>
    <t>https://www.startribune.com/birds-eye-builds-a-huge-vegetable-processing-plant-in-waseca/600092989/</t>
  </si>
  <si>
    <t>400 4th St SW</t>
  </si>
  <si>
    <t>Data Metalcraft Inc</t>
  </si>
  <si>
    <t>Arlington</t>
  </si>
  <si>
    <t>Data Metalcraft Inc is a growing company based in Chaska, MN and seeking welders as it invests $11 million into a new facility in Arlington, MN. Their specialty is fabricating utility cabinets and other products made from aluminum and stainless steel.
DEED is supporting the project with $80K to the City of Arlington from DEED's Redevelopment Grant Program;  JCF award of $175K,  MIF award of $350K. The project will create 50 jobs, retain 48 jobs, increase the city's tax base by $107,765.</t>
  </si>
  <si>
    <t>https://www.datametal.com/blog/</t>
  </si>
  <si>
    <t>4280 Norex Dr</t>
  </si>
  <si>
    <t>JCF $175K, MIF $350K, Redev. Grant ($80.5K)</t>
  </si>
  <si>
    <t>Minnesota Rubber &amp; Plastics</t>
  </si>
  <si>
    <t>Minnesota Rubber &amp; Plastic broke ground on a new $7 million, 9,000-square-foot innovation center in Plymouth. The innovation center, located next to headquarters, will help customers get products to market faster by having them work directly with the company's scientists and engineers. The company develops and makes custom plastic and rubber molds and components for original manufacturers. Completion is expected in spring 2022.</t>
  </si>
  <si>
    <t>https://www.startribune.com/plymouth-company-breaks-ground-on-7m-new-materials-innovation-center/600094646/</t>
  </si>
  <si>
    <t>1100 Xenium Ln N</t>
  </si>
  <si>
    <t>ELO Digital</t>
  </si>
  <si>
    <t xml:space="preserve">ELO Digital Office USA develops software enabling businesses to improve collaboration and digitalize information management, and is a subsidiary of Germany-based ELO Digital Office. ELO has opened an office in Minneapolis, Minnesota, US. It is located at 225 South 6th Street. </t>
  </si>
  <si>
    <t>https://www.prweb.com/releases/elo_digital_office_usa_relocates_north_american_headquarters_to_miami/prweb18175741.htm</t>
  </si>
  <si>
    <t>225 South 6th Street Suite 3900.</t>
  </si>
  <si>
    <t xml:space="preserve">Amazon.com Inc. is planning its largest corporate hiring spree yet - wanting to add 55,000 globally, more than 80% of whom in the U.S. In Minneapolis, the company has nearly 170 open positions for work in its North Loop tech office: more than half related to Amazon Web Services operations, and the rest spread over operations technology, Amazon devices and human resources sectors.
Amazon opened a tech office in the North Loop's T3 building in 2017, and has since expanded it to over 300 workers in a 90,000 SF space over three floors. </t>
  </si>
  <si>
    <t>https://www.bizjournals.com/twincities/news/2021/09/09/amazon-hiring-thousands-corporate-tech-workers.html</t>
  </si>
  <si>
    <t>323 N Washington Ave</t>
  </si>
  <si>
    <t>Heliene, a provider of solar modules, and a subsidiary of Spain-based Helios Energy Europe, will expand its facility in Mountain Iron. The company will invest $21M, to become the 2nd-largest solar module manufacturing plant in the U.S.   The expansion will be completed in June 2022 and will create 60 new jobs. Heliene received $11.5M in assistance from sources in Minnesota, including $5.5M from Xcel Energy's renewable energy fund for infrastructure expenses; and the rest from a 3% loan from the state and the Iron Range Resources and Rehabilitation Board. 
Update 10/2022: Expansion complete. New assembly line opens.</t>
  </si>
  <si>
    <t>https://bit.ly/3nwYasQ</t>
  </si>
  <si>
    <t>IRRR</t>
  </si>
  <si>
    <t>Helios Energy Europe</t>
  </si>
  <si>
    <t>Spain</t>
  </si>
  <si>
    <t>CHS announced a major expansion and renovation to expand soybean oil refining capacity at Mankato’s plant. The over $60 million project is driven by upward trends in global consumption of refined oils, especially in the renewable diesel sector. When upgrades are complete soybean oil production at the facility will increase more than 35 percent. Project completion is expected in late summer 2023.</t>
  </si>
  <si>
    <t>https://www.chsinc.com/about-chs/news/news/2021/09/07/expands-soybean-capacity-mankato</t>
  </si>
  <si>
    <t>Company web site</t>
  </si>
  <si>
    <t>2020 S Riverfront Dr</t>
  </si>
  <si>
    <t>Chemstar Products Company</t>
  </si>
  <si>
    <t>Plant and warehouse expansion project: $1.5 million investment that will create 7 new jobs.
Company background: Chemstar was launched in 1965 with the goal of becoming a world leader in starch polymer production. Their Carlton, Minnesota plant opened in 1979 to serve mining and drilling markets in the northwest U.S. The facility converts to a new drying technology to better serve the growing market for starch ether/derivative products.
DEED JCF Award $140K</t>
  </si>
  <si>
    <t>3232 E 40th St</t>
  </si>
  <si>
    <t>Peli BioThermal (formerly Pelican BioThermal)</t>
  </si>
  <si>
    <t>Peli BioThermal makes temperature-controlled packaging is used to ship Covid-19 vaccines at super-low temperatures. It recently relocated its headquarters to Maple Grove from Plymouth. (Prior to rebranding in July, it was known as Pelican BioThermal.) The company is now leasing a 117,000-square-foot distribution and production space, up from its previous 70,000-square-foot space.
DEED Award (10/2021): MIF $315,000</t>
  </si>
  <si>
    <t>DW, MF</t>
  </si>
  <si>
    <t>https://www.bizjournals.com/twincities/news/2021/09/15/peli-biothermal-moves-headquarters-to-maple-grove.html</t>
  </si>
  <si>
    <t>10050 89th Ave N</t>
  </si>
  <si>
    <t>Ready Credit</t>
  </si>
  <si>
    <t>Eden Prairie-based Fintech Ready Credit provides  patented kiosks, ReadySTATION® that load cash to a Mastercard® or Visa® prepaid debit card. This allows consumers to instantly convert “cash to cards” so they can experience the convenience of electronic payments for rapid and safe transactions.
Today, the company is poised to bring in $27 million in revenue. They’ve more than tripled the number of kiosks installed around the country, and their staff has grown by 65%.</t>
  </si>
  <si>
    <t>https://www.bizjournals.com/twincities/partner-insights/2021/09/17/eden-prairie-based-fintech-emerges-from-pandemic.html</t>
  </si>
  <si>
    <t>10340 Viking Dr Suite 125</t>
  </si>
  <si>
    <t>Chromatic 3D</t>
  </si>
  <si>
    <t xml:space="preserve">Chromatic 3D Materials uses 3-D printing to produce specialized molds for med-tech firms and other manufacturers. Chromatic is about to close a new round of $5 million in venture capital. It expects to double employees to about 25, including several in Germany, and hit annual revenue of $3 million by 2023. Chromatic makes software and a "thermoset polymer" that is generally more flexible and stronger than typically used "thermoplastic." Chromatic 3D Materials was in DEED's Angel Tax Credit Program in 2016 and 2017 when it raised $225,000.  </t>
  </si>
  <si>
    <t>https://www.startribune.com/golden-valley-based-chromatic-3d-materials-closes-in-on-a-5-million-capital-infusion/600098826/?utm_source=newsletter&amp;utm_medium=email&amp;utm_campaign=amnews&amp;refresh=true</t>
  </si>
  <si>
    <t>684 Mendelssohn Ave N</t>
  </si>
  <si>
    <t>Premier Marine</t>
  </si>
  <si>
    <t>Premier Marine, a large pontoon boat manufacturer is relocating its headquarters to Big Lake, from seven buildings in Wyoming, MN.  A new 151,710 sqft facility will serve as its headquarters and manufacturing facility. Another new 30,000 sqft separate building will house fiberglass and console operations.  Premier Marine brings 193 existing jobs and about 70 new jobs at the new facility. Total capital investment: $25.4 million. 
Financial assistance: $1.2 million tax abatement
Broke ground in December 2021.</t>
  </si>
  <si>
    <t>https://www.hometownsource.com/monticello_times/community/big_lake/big-lake-lands-pontoon-maker-premier-marine/article_a785f830-1b28-11ec-81ac-7363f41ddaa4.html</t>
  </si>
  <si>
    <t>18040 US Highway 10</t>
  </si>
  <si>
    <t>Upsie founder and CEO Clarence Bethea closed on an $18.2 million Series A round in May, more than doubled the size of his staff, and aspires to build his online warranty platform into a multibillion-dollar company in St. Paul.</t>
  </si>
  <si>
    <t>https://tcbmag.com/why-this-st-paul-startup-ceo-moved-to-dallas/?utm_source=SilverpopMailing&amp;utm_medium=email&amp;utm_campaign=092621_TSUNDAYPRIMER%20(1)&amp;utm_content=Hyperlink_20210924_152234795&amp;spMailingID=19249061&amp;spUserID=MTMxNDI1OTY0Mzk1S0&amp;spJobID=2204322518&amp;spReportId=MjIwNDMyMjUxOAS2</t>
  </si>
  <si>
    <t>2021-Q4</t>
  </si>
  <si>
    <t xml:space="preserve">Target Corp. is strengthening its workforce in warehouses and distribution, promising to add another 30,000 positions (at unspecified locations). The Minneapolis-based retailer said the new hires would include roles ranging from hiring managers to warehouse and operational support staff.  The supply-chain jobs were for "the holiday season and well beyond," an indication that these roles are separate from the 100,000 seasonal positions Target recently announced. </t>
  </si>
  <si>
    <t>https://www.bizjournals.com/twincities/news/2021/10/04/target-adding-30-000-supply-chain.html</t>
  </si>
  <si>
    <t xml:space="preserve">Amazon is building a 517,000-square-foot warehouse in Woodbury. (Code name was Project Belle.) This will be the e-commerce giant's third big distribution facility in the Twin Cities. Compared to fulfillment centers in Lakeville and Shakopee, the center in Woodbury will an inbound receiving centers, which serves as a buffer between Amazon’s suppliers and the bigger, expensive fulfillment centers. The project is expected to be completed by next summer. Expected new jobs: 500 (1,000 seasonally). </t>
  </si>
  <si>
    <t>DW</t>
  </si>
  <si>
    <t>https://www.bizjournals.com/twincities/news/2021/10/13/amazon-woodbury-distribution-center.html</t>
  </si>
  <si>
    <t>11975 Hudson Road</t>
  </si>
  <si>
    <t>Duos</t>
  </si>
  <si>
    <t>Duos pairs a trained personal assistant for aging with an older adult, thereby creating a duo. These companions provide helpful services such as shopping and companionship. Duos is looking to recruit stay-at-home parents to act as trained, personalized support from 9am to 3pm, untapped pool of workers.
Duos raised $6 million in seed funding and is available to consumers nationwide. Duos is building out its team by hiring software engineers, operations specialists and product managers.</t>
  </si>
  <si>
    <t>https://www.bizjournals.com/twincities/inno/stories/profiles/2021/10/19/duos-age-at-home-senior-care.html</t>
  </si>
  <si>
    <t>Central Farm Services</t>
  </si>
  <si>
    <t>St. James</t>
  </si>
  <si>
    <t>Watonwan</t>
  </si>
  <si>
    <t>Central Farm Services will construct a 350,000-ton feed mill in St. James, MN. The construction of this mill will begin in fall 2021 with completion in 2023.  The new feed mill could expand to 550,000 tons. The city of St. James was awarded $382,067 by the State of MN to assist with $764,000 in needed public infrastructure improvements. Project Investment will be $19.5 million. The project will add and retain 9 jobs. The project will increase tax base by $6 million.</t>
  </si>
  <si>
    <t>https://www.cfscoop.com/news/company-news/cfs-announces-new-feed-mill-in-st-james,-mn</t>
  </si>
  <si>
    <t>832 1st Ave. South</t>
  </si>
  <si>
    <t>Rosemount</t>
  </si>
  <si>
    <t>The city of Rosemount recently gave a nod to Scannell Properties, which plans to develop a warehouse and distribution center on 86 acres on what is now the Rich Valley Golf Course. Initial plans call for a 548,000 square-foot building with trailer parking and loading docks.  Planning documents, which include renderings that identify the tenant as Fed Ex. It's expected to bring 400 to 600 jobs the city.</t>
  </si>
  <si>
    <t>https://www.startribune.com/home-depot-fed-ex-are-building-giant-distribution-centers-in-rosemount/600111133/</t>
  </si>
  <si>
    <t>Star Tribune, DEED</t>
  </si>
  <si>
    <t>3855 145th St E</t>
  </si>
  <si>
    <t>Home Depot</t>
  </si>
  <si>
    <t>Construction has begun on a 417,600-square-foot distribution building for Home Depot USA. The project will also include 210,400 square foot of outdoor storage space. Two railroad spurs are also included in the project. State of MN DEED 9/3/21 MIF Award of $375,000. Expect to create 50 new jobs paying an average of $19.85/hr. Project cost: $63,218,518</t>
  </si>
  <si>
    <t>15195 Boulder Avenue</t>
  </si>
  <si>
    <t>Eyesafe</t>
  </si>
  <si>
    <t xml:space="preserve">Growing global awareness of potential eye strain caused by blue light emission from digital screens has sent sales soaring at a small Minnesota firm that makes blue light protection products. Over the past four years, Eyesafe has seen its revenue increase by nearly 900% off the sale of about 40 million electronic devices. Eyesafe is leasing lab space in Oakdale, a fourfold increase in space from its existing lab space in Eden Prairie. </t>
  </si>
  <si>
    <t>https://www.startribune.com/small-minnesota-company-goes-big-with-blue-light-protection/600113957/</t>
  </si>
  <si>
    <t>3510 Hopkins Pl</t>
  </si>
  <si>
    <t>Spectro Alloys</t>
  </si>
  <si>
    <t>Spectro Alloys is investing $10 million to make its Rosemount plant, the Upper Midwest's largest processor of industrial aluminum, safer and more energy efficient. Spectro is upgrading one of its three furnaces and  has broken ground on a 70,000-square-foot warehouse addition to its 90,000-square-foot facility, to be completed next spring. Spectro just completed a new $3 million "baghouse" and related equipment.  Spectro purchases aluminum scrap and ships weekly about 90 truckloads of aluminum ingots.</t>
  </si>
  <si>
    <t>https://www.startribune.com/st-anthony-spectro-alloys-invests-10-million-in-its-aluminum-recycling-business/600113955/?refresh=true</t>
  </si>
  <si>
    <t>13220 Doyle Path</t>
  </si>
  <si>
    <r>
      <t xml:space="preserve">Amazon has opened a 350,000-square-foot "sortation center" in Maple Grove that it expects will employ for over 1,000 workers. Employees at the facility are tasked with receiving, storing and shipping out items for delivery. Ultimately, Amazon expects the sortation center to speed up the deliveries for its customers.
The sortation center, located at </t>
    </r>
    <r>
      <rPr>
        <b/>
        <sz val="11"/>
        <rFont val="Calibri"/>
        <family val="2"/>
        <scheme val="minor"/>
      </rPr>
      <t xml:space="preserve">10440 89th Avenue in Maple Grove, </t>
    </r>
    <r>
      <rPr>
        <sz val="11"/>
        <rFont val="Calibri"/>
        <family val="2"/>
        <scheme val="minor"/>
      </rPr>
      <t>received its first shipment on Wednesday, Oct. 27.</t>
    </r>
  </si>
  <si>
    <t>https://www.bizjournals.com/twincities/news/2021/11/09/amazon-sortation-center-in-maple-grove.html</t>
  </si>
  <si>
    <t>10440 89th Avenue</t>
  </si>
  <si>
    <t>Oculogica</t>
  </si>
  <si>
    <t>New York City-based Oculogica Inc. has built out its first sales and marketing team, doubling the company's employee count and maximizing its ability to commercialize its eye-tracking technology for diagnosing concussions. The company is looking to shift from research and development to putting its EyeBox device in more doctor's offices.  The business unit created a new Minneapolis-based team and has job openings for developers, marketers and project managers.</t>
  </si>
  <si>
    <t>https://www.bizjournals.com/twincities/inno/stories/news/2021/11/09/oculogica-marketing-team-commercialiazation.html</t>
  </si>
  <si>
    <t>Coburn Manufacturing</t>
  </si>
  <si>
    <t>Fridley-based Colburn Manufacturing, a family-owned machine shop that makes parts for a variety of industries, is on track to double its footprint next spring and add new equipment to keep up with runaway demand. Colburn Manufacturing has 18 employees.</t>
  </si>
  <si>
    <t>https://www.startribune.com/minnesota-manufacturing-is-looking-up-despite-supply-chain-concerns/600118143/</t>
  </si>
  <si>
    <t>7341 Commerce Ln</t>
  </si>
  <si>
    <t>Summit Mortgage</t>
  </si>
  <si>
    <t>Plymouth-based Summit Mortgage Corp. usually helps others moving to new homes. On Nov. 1 the national lender signed a $4.9 million cash deal for a new home of its own right in town. Via a related entity, Summit acquired the 50,021-square-foot flex building at 9600 54th Ave. N also in Plymouth- which  is about 5 miles north of its current space at 13355 10th Ave. N. Summit plans to renovate the building, use about half and lease the rest to a tenant.</t>
  </si>
  <si>
    <t>https://finance-commerce.com/2021/11/just-sold-summit-mortgage-buys-new-hometown-headquarters/</t>
  </si>
  <si>
    <t>13355 10th Ave N</t>
  </si>
  <si>
    <t>Bell Bank</t>
  </si>
  <si>
    <t>North Dakota-based Bell Bank, inspired by a decade of success in the Twin Cities, has opened a flagship downtown office in City Center in Minneapolis and added a retail-commercial facility (in Minneapolis?) to complement its (existing) big mortgage office at "Bell Plaza" off Interstate 494 in Bloomington. The expansion comes amid a slowly reviving downtown. Bell is Twin Cities' 10th-largest bank and employs about 550 people in the area.</t>
  </si>
  <si>
    <t>https://www.startribune.com/north-dakotas-largest-bank-is-fueled-by-growth-in-twin-cities/600119340/</t>
  </si>
  <si>
    <t>North Dakota</t>
  </si>
  <si>
    <t>In the spring, Target embraced hybrid work options permanently and gave up nearly 1 million square feet of office space in downtown Minneapolis. Target now is creating "flex floors" at its Minneapolis and Brooklyn Park campuses, and is opening a new Eagan site for (office) workers who want a transitional space to do in-person or virtual work.</t>
  </si>
  <si>
    <t>https://www.startribune.com/some-minnesota-employers-rush-to-bring-office-workers-back-before-the-new-year/600119449/</t>
  </si>
  <si>
    <t>Grocer Coborn's Inc has a new primary wholesaler --  Kansas City-based Associated Wholesale Grocers (AWG) --who's entering the Minnesota market with big expansion plans. AWG is moving into a 316,000-square-foot building in St. Cloud, which will be its new Upper Midwest Division HQ. 
Later this year, Associated Wholesale Grocers (AWG) plans to build another 300,000+ square-foot warehouse in a location TBD; and after that, AWG expects to expand once again into a single facility in Minnesota, with as much as 1 million square feet of space.</t>
  </si>
  <si>
    <t>https://www.bizjournals.com/twincities/news/2021/11/23/associated-wholesale-grocers-st-cloud-warehouse.html</t>
  </si>
  <si>
    <t>St. Cloud I-94 Business Park</t>
  </si>
  <si>
    <t>JCF ($175K), TIF (unknown value)</t>
  </si>
  <si>
    <t>MentorMate</t>
  </si>
  <si>
    <t>MentorMate is evolving its software business to focus on its bigger clients and as a result, has seen 20% yearly revenue growth even through the pandemic. The company has more than 700 employees working in 20 countries — including five offices in Bulgaria — and expects to top 1,000 workers in the next two years. The Minneapolis office employs 60. Minneapolis employees  have worked remotely for two years and are set to move into Uptown's MoZaic West in December.</t>
  </si>
  <si>
    <t>https://www.startribune.com/minneapolis-mentormate-shifts-to-helping-larger-clients-leverage-data/600121960/</t>
  </si>
  <si>
    <t>1350 Lagoon Ave Suite 800</t>
  </si>
  <si>
    <t>Quantinuum (Honeywell spinoff)</t>
  </si>
  <si>
    <t>One of the world's most powerful quantum computers sits in Golden Valley. Honeywell predicts supercharged computing will become a $1 trillion industry.   Quantinuum resulted from the merger of Honeywell spinoff Honeywell Quantum Solutions and English software company Cambridge Quantum Computing. The new company  will be headquartered in Colorado and the U.K., but maintain a 40-person workforce in Minnesota that  will continue to grow, due to its longstanding expertise and being close to other Honeywell operations.</t>
  </si>
  <si>
    <t>https://www.startribune.com/honeywell-spins-off-minnesota-grown-quantum-computing-division-into-new-company-quantinuum/600122267/</t>
  </si>
  <si>
    <t>1985 Douglas Dr N</t>
  </si>
  <si>
    <t>Quantinuum</t>
  </si>
  <si>
    <t>Cambridge</t>
  </si>
  <si>
    <t>Greenfield Global</t>
  </si>
  <si>
    <t>Winnebago</t>
  </si>
  <si>
    <t xml:space="preserve"> in late 2020, Greenfield Global bought the former Corn Plus plant -- one of the oldest ethanol plants in the state -- out of receivership. It was the giant Canadian company’s first move into biofuels production in the United States.
After a series of upgrades to the plant, Greenfield fired up the plant in November of 2021. The plant has about 50 employees and Pankonen said it is approaching its current potential production of 48 million gallons per year. </t>
  </si>
  <si>
    <t>https://www.mankatofreepress.com/news/local_news/winnebago-ethanol-plant-gets-new-life-from-a-new-company/article_974f3aae-d0e4-11ec-86e4-07f0c724b543.html?utm_source=mankatofreepress.com&amp;utm_campaign=/newsletters/lists/headlines/%3F-dc%3D1652614218&amp;utm_medium=email&amp;utm_content=read%20more</t>
  </si>
  <si>
    <t>Split Rock Studios</t>
  </si>
  <si>
    <t>Split Rock Studios, a longtime maker of giant snakes, historic displays and other interpretive exhibits, are moving from Arden Hills to Brooklyn Park by the end of the year. The last offices are set to move by mid-January. Split Rock purchased a 62,500-square-foot building in November 2021.  The move will allow the 40 employee-owners to build equity while they grow their business in an increasingly competitive field.</t>
  </si>
  <si>
    <t>Furniture (Museum exhibits)</t>
  </si>
  <si>
    <t>https://finance-commerce.com/2021/12/just-sold-split-rock-studios-buys-new-brooklyn-park-home/</t>
  </si>
  <si>
    <t>6401 Welcome Ave. N</t>
  </si>
  <si>
    <t>Bizzy Coffee</t>
  </si>
  <si>
    <t xml:space="preserve">Bizzy Coffee Eyes National Expansion. The Minneapolis-based cold brew brand is raising nearly $7 million to build a new Minnesota production facility and expand its presence across the country.  They expect the expansion to take place in the first quarter of 2022. Bizzy currently employs about 30 people in total and hopes to add a few more employees in operations, marketing, and sales. </t>
  </si>
  <si>
    <t>https://tcbmag.com/bizzy-coffee-eyes-national-expansion/</t>
  </si>
  <si>
    <t xml:space="preserve"> 2700 Freeway Blvd #200</t>
  </si>
  <si>
    <t>Justifi</t>
  </si>
  <si>
    <t>Justifi, an embedded fintech platform for vertical software-as-a-service companies raised $6.6 million in a seed round. The funding will be used to scale its team and build out the product.
JustiFi uses an AI decision engine to help reduce the more than $195 billion that internet businesses paid in payment-processing fees in 2020. 
UPDATE TCB 12/23/21:  JustiFi is currenlty based in Minneapolis, but plans relocate to a converted warehouse in St. Paul in 2022.</t>
  </si>
  <si>
    <t>https://www.bizjournals.com/twincities/inno/stories/news/2021/12/16/fintech-startup-justifi-raises-6-6-million.html</t>
  </si>
  <si>
    <t xml:space="preserve"> Southern Minnesota Beet Sugar Cooperative</t>
  </si>
  <si>
    <t>Southern Minnesota Beet Sugar Cooperative, Renville County’s largest employer, is planning to invest $175 million in buildings and equipment. …SMBSC has about 350 permanent employees…(that) balloon to more than 700 people during fall harvest. They anticipate creating an additional 75 jobs over the next five years. Sugar beets are harvested in the fall, processed by Renville's SMBSC plant over the fall, winter and spring.
2021 TEDI Award for Renville County: $200,000 to reconstruct 3 miles of roadway to support the expansion.</t>
  </si>
  <si>
    <t>https://mn.gov/deed/newscenter/press-releases/#/detail/appId/1/id/513331</t>
  </si>
  <si>
    <t>83550 Co Hwy 21</t>
  </si>
  <si>
    <t>TEDI</t>
  </si>
  <si>
    <t>EideCom</t>
  </si>
  <si>
    <t>EideCom has found success in the pandemic by adding streaming capabilities and offering a new product, SecondStage, as an online platform for virtual events, with pre-recorded or live-streamed content. Now, the company is moving this month into new, larger multimillion-dollar headquarters it built in Brooklyn Park, a mile from its current home. The new space is more than triple the size of the company's existing offices. Eide expects to grow from 22 employees to roughly 40 by the end of 2022.</t>
  </si>
  <si>
    <t>https://www.startribune.com/minnesota-event-planning-company-eidecom-building-larger-hq-in-brooklyn-park/600130776/</t>
  </si>
  <si>
    <t>7601 Northland Dr N Suite 100</t>
  </si>
  <si>
    <t xml:space="preserve">Chandler Industries Inc. will consolidate its Minneapolis and Bethel operations into a newly constructed building in Blaine. The 100,000-square-foot facility at 8650 W. 35W Service Drive will serve as Chandler's headquarters.The new headquarters will house 140 full-time employees and consolidates the company's manufacturing technology, technical staff and operational teams into a single facility.  Chandler Industries manufactures precision-machined components and fabricated sheet metal. </t>
  </si>
  <si>
    <t>https://www.bizjournals.com/twincities/news/2021/12/29/chandler-industries-blaine-headquarters.html</t>
  </si>
  <si>
    <t>8650 W. 35W Service Drive</t>
  </si>
  <si>
    <t>Thermo King</t>
  </si>
  <si>
    <t>Thermo King, headquartered in Bloomington, is the global leader in transport refrigeration and heating for trailers, trucks, buses, rail cars and shipboard containers. Renovation to interior office and meeting areas, based on three Bloomington construction permits (October-December)</t>
  </si>
  <si>
    <t>https://www.ci.stcloud.mn.us/812/Building-Permit-Reports</t>
  </si>
  <si>
    <t>314 W 90TH ST</t>
  </si>
  <si>
    <t>Magnum Trucking</t>
  </si>
  <si>
    <t>Magnum Trucking received City Council approval in November for the construction of a new 31,360-square-foot trans-load trucking facility, 9,408-square-foot office and 13,824-square-foot
truck maintenance building. The proposed site is located south of 215th Street (CSAH 70) and west of Jacquard Avenue. The largest permitted project in Lakeville in 2021 was a new LTL trucking facility for Magnum Trucking, valued at $11 million
Update: Opened in October 2022</t>
  </si>
  <si>
    <t>https://www.lakevillemn.gov/DocumentCenter/View/12641/January-2023-PDF</t>
  </si>
  <si>
    <t>22000 Humboldt Rd</t>
  </si>
  <si>
    <t>Omnetics Connector Corporation</t>
  </si>
  <si>
    <t>From 2021-Q4 Coon Rapids Building Permits, publ. Jan 2022. Commercial Interior Remodel</t>
  </si>
  <si>
    <t>https://www.coonrapidsmn.gov/Archive.aspx?AMID=79</t>
  </si>
  <si>
    <t>8840 Evergreen Blvd.</t>
  </si>
  <si>
    <t>2022-Q1</t>
  </si>
  <si>
    <t>CKC Foods</t>
  </si>
  <si>
    <t xml:space="preserve">School lunch provider doubles capacity in new Eagan facility. CKC Good Foods, provider of lunches for metro-area schools, purchased the 42,450-square-foot building last spring, and invested in an extensive build-out. About 12,000 sqft is for a kitchen, and another 12,000 sqft is for food storage. The company invested about $7 million to $7.5 million in the new space, including property acquisition and improvements. </t>
  </si>
  <si>
    <t>https://finance-commerce.com/2022/01/school-lunch-provider-doubles-capacity-in-new-eagan-facility/?ep=1</t>
  </si>
  <si>
    <t> 2919 W. Service Road</t>
  </si>
  <si>
    <t>Climate by Design International</t>
  </si>
  <si>
    <t>Climate by Design International is planning a new 200,000 sqft facility in Owatonna’s industrial park, doubling the size of their current three separately leased areas around town. The manufacturing company creates desiccant dehumidifiers and critical process air handlers. 
The Owatonna City Council approved a public hearing date to establish a Tax Increment Financing (TIF) district for the new 200,000 square foot CDI manufacturing facility on Bridge Street.
Along with the new facility, CDI will be adding 50 new jobs.</t>
  </si>
  <si>
    <t>https://www.southernminn.com/owatonna_peoples_press/news/article_4c1bac52-b59d-5bbe-bb7e-dd1e2c929af2.html</t>
  </si>
  <si>
    <t>200 Festal Pl. NW.</t>
  </si>
  <si>
    <t>FedEx is constructing a massive logistics facility in Willmar Industrial Park that will add about 100 jobs.  The shipping firm currently has two sites in Willmar. The project is  worth more than $30 million, and includes constructing a 217,000-square-foot distribution center. The EDC, city of Willmar and site developer RDC National have been working together for several months. RDC purchased the land for $621,000. The project is being constructed without the assistance of tax increment financing or tax abatement.</t>
  </si>
  <si>
    <t>https://www.wctrib.com/business/fedex-behind-massive-logistics-facility-being-constructed-in-willmar-industrial-park</t>
  </si>
  <si>
    <t>Soldier Trucking</t>
  </si>
  <si>
    <t>Soldier Trucking purchased the former Bix Produce Co. facility near downtown St. Paul. The company — which is based in St. Paul with offices in Mendota Heights — plans to relocate 20 administrative jobs from Mendota Heights, retain 52 positions in St. Paul and add 60-70 new positions over the next 18 to 24 months.
Soldier Trucking is a veteran-owned transportation company that focuses on putting people from diverse backgrounds — including disabled vets — to work.</t>
  </si>
  <si>
    <t>https://www.startribune.com/st-paul-building-once-poised-to-be-a-covid-morgue-sold-to-trucking-company-that-employs-veterans-bix/600135584/</t>
  </si>
  <si>
    <t>1415 L'Orient St.</t>
  </si>
  <si>
    <t>CathX Medical Inc</t>
  </si>
  <si>
    <t>DEED JCF Award: $400,000. Investment $13.9 million, 40 new jobs paying average of $36.25/hr</t>
  </si>
  <si>
    <t>[unknown]</t>
  </si>
  <si>
    <t>https://www.startribune.com/south-carolina-firm-will-hire-more-than-100-workers-for-new-catheter-plant-in-arden-hills-zeus/600266715/</t>
  </si>
  <si>
    <t>1275 Red Fox Rd</t>
  </si>
  <si>
    <t>Banner Engineering</t>
  </si>
  <si>
    <t>Minneapolis-based Banner Engineering Corp., a global maker and distributor of sensors used in a variety of industries, has paid $18.27 million for the Boone Industrial Plaza, a 322,769-square-foot manufacturing facility on 14.95 acres at 7401 Boone Ave. in Brooklyn Park. Banner closed Dec. 15. The facility includes 24-foot clear height and 35 dock doors.</t>
  </si>
  <si>
    <t>https://finance-commerce.com/2022/01/just-sold-banner-engineering-adds-space-in-brooklyn-park/</t>
  </si>
  <si>
    <t>7401 Boone Ave</t>
  </si>
  <si>
    <t>King Technology Inc</t>
  </si>
  <si>
    <t>Hopkins</t>
  </si>
  <si>
    <t>King Technology specializes in recreational water sanitizing solutions. The company has outgrown its current location in Hopkins and proposes purchasing and occupying the four-story office building at 6000 Clearwater Drive.  The building comprises 100,000 square feet of office space, plus an underground level. 
The underground parking area would be converted to R&amp;D space.  DEED JCF Award: $617,000. Investment $14.5 million, 50 new jobs paying average of $42.57/hr</t>
  </si>
  <si>
    <t>RD, OF</t>
  </si>
  <si>
    <t>https://www.minnetonkamn.gov/home/showpublisheddocument/10544</t>
  </si>
  <si>
    <t>DEED, City of Minnetonka</t>
  </si>
  <si>
    <t>530 11th Ave S</t>
  </si>
  <si>
    <t>Impact</t>
  </si>
  <si>
    <t>Owners Tim Johnson and Mark Anderson just invested $4 million to expand their Impact printing operation on the North Side of Minneapolis. Investments were in technology (new equipment) and renovated space to expand capacity. 
Impact has doubled employment to nearly 200 over the last decade through organic growth and several acquisitions, such as a marketing affiliate called Infinity Direct based in Plymouth.</t>
  </si>
  <si>
    <t>https://www.startribune.com/impact-invests-in-print-plant-solar-power-in-north-minneapolis/600138815/?refresh=true</t>
  </si>
  <si>
    <t>4600 N Lyndale Ave</t>
  </si>
  <si>
    <t>Soona, a Minneapolis- and Denver-based same-day photo startup that makes content for e-commerce companies, closed a $35 million of funding.  The funding will be used to grow its model services, and triple the size of its platform and its engineering team in 2022. Soona's growth accelerated during the pandemic when clients embraced virtual photo shoots by participating in a shoot remotely through their device. The company has over 7,000 customers and three hubs in Austin (Texas), Denver and Minneapolis.</t>
  </si>
  <si>
    <t>https://www.bizjournals.com/twincities/inno/stories/fundings/2022/01/24/soona-photostudio-series-b.html</t>
  </si>
  <si>
    <t>Inspectorio just raised a $50 million in funding and will use the new funding to expand its research and development and grow its product teams, expecting to add around 100 new employees this year. Inspectorio's over 7,000 customers, including Target Corp., rely on the company's production-tracking software to prevent supply chain delays and improve on-time delivery performance. The company employs more than 200 people in the U.S., Ecuador, China, Vietnam and Belarus.</t>
  </si>
  <si>
    <t>https://www.bizjournals.com/twincities/inno/stories/fundings/2022/01/31/inspectario-series-b-supply-chain-software.html</t>
  </si>
  <si>
    <t>901 S Marquette Ave #603,</t>
  </si>
  <si>
    <t>Jonny Pops</t>
  </si>
  <si>
    <t>Jonny Pops has 80 employees, and operates in leased industrial space in St. Louis Park. Jonny Pops bought a 80,000-square-foot food processing plant in Elk River for $6.5 million. The site will serve as their new headquarters. Jonny Pops employees are planning to move as soon as they adapt the production line and distribution process. The company is not disclosing the precise total investment in the new headquarters and production plant, but said it's eight figures. "We're going to continue to invest and bring in more equipment, more employees and continue to grow,"</t>
  </si>
  <si>
    <t>https://finance-commerce.com/2022/02/just-sold-jonny-pops-owners-buy-elk-river-plant/</t>
  </si>
  <si>
    <t>13512 Business Center Drive</t>
  </si>
  <si>
    <t>Yamamoto</t>
  </si>
  <si>
    <t>Minneapolis-based advertising firm Yamamoto expanded in its North Loop building location. The agency nearly doubled from 11,300 square feet to 20,000 square feet in its new space, taking up an entire floor. "We were able to renovate all the spaces we didn't really have too much access to before..." The new job encompassed everything from furnishings to additional features such as a voiceover booth and photo studio.</t>
  </si>
  <si>
    <t>Advertising</t>
  </si>
  <si>
    <t>https://www.bizjournals.com/twincities/news/2022/02/01/cool-offices-yamamoto.html</t>
  </si>
  <si>
    <t>219 N. 2nd Street</t>
  </si>
  <si>
    <t>Yardstik</t>
  </si>
  <si>
    <t>Minneapolis-based software startup Yardstik announced Thursday it has raised $8 million in Series A funding. Yardstick offers screening, verification, and training solutions tailored to gig marketplaces and Software-as-a-Service (SaaS) platforms. The company has grown from 38 customers in 2020 to 131 customers in 2021, and it plans to use the $8 million raise to hire additional team members, continue product development, and evolve their go-to-market strategy.</t>
  </si>
  <si>
    <t>https://tcbmag.com/minneapolis-based-tech-company-yardstik-lands-8m-raise/?utm_campaign=TCB%20Sunday%20Primer&amp;utm_medium=email&amp;_hsmi=203060723&amp;_hsenc=p2ANqtz--mJHtnwTlJmH8z1Za2PwooG4NQ9p3sHKlg_CZ4TnI-rAq_XF1U5slsGwvmsV3CqUKf5lFRIEi0vhgJ65LYdZBl7TpAgg&amp;utm_content=203060723&amp;utm_source=hs_email</t>
  </si>
  <si>
    <t>4600 W 77th St #200, </t>
  </si>
  <si>
    <t>47-93 North Inc</t>
  </si>
  <si>
    <t>Bovey</t>
  </si>
  <si>
    <t>Itasca</t>
  </si>
  <si>
    <r>
      <rPr>
        <b/>
        <sz val="11"/>
        <rFont val="Calibri"/>
        <family val="2"/>
        <scheme val="minor"/>
      </rPr>
      <t xml:space="preserve">47-93 North </t>
    </r>
    <r>
      <rPr>
        <sz val="11"/>
        <rFont val="Calibri"/>
        <family val="2"/>
        <scheme val="minor"/>
      </rPr>
      <t>needed more manufacturing and storage space. Currently employs 2 FTE. Expects to add 3-5 FTE within one to two years. (and 19 new jobs within 5 years.)  Investment is n/a but taxable value of new build in first year is $1,273,275.
BDPI: The city of Bovey was awarded $984,548 to construct streets and utilities to serve a new 20-acre industrial park.  47-93 North, Inc. a manufacturing and machining company will retain its current operations in Grand Rapids, and add a new location in Bovey.</t>
    </r>
  </si>
  <si>
    <t>https://mn.gov/deed/newscenter/press-releases/?id=517530</t>
  </si>
  <si>
    <t>BDPI (same grant covers infrastructure for KMDA and 47-93N)</t>
  </si>
  <si>
    <t>KMDA</t>
  </si>
  <si>
    <r>
      <t>KMDA, Inc. has been supplying fishing tackle retailers for over 15 years. Looking to expand, needs additional space. Cannot easily relocate, so seeking to expand at the new "Red Rock Business Park" in Bovey.  Investment is n/a but taxable value of new build in first year is $761,400, and add 3 FTE within one year (and 26 within 5 years).</t>
    </r>
    <r>
      <rPr>
        <b/>
        <sz val="11"/>
        <rFont val="Calibri"/>
        <family val="2"/>
        <scheme val="minor"/>
      </rPr>
      <t xml:space="preserve">
BDPI:</t>
    </r>
    <r>
      <rPr>
        <sz val="11"/>
        <rFont val="Calibri"/>
        <family val="2"/>
        <scheme val="minor"/>
      </rPr>
      <t xml:space="preserve"> The city of Bovey was awarded $984,548 to construct streets and utilities to serve a new 20-acre industrial park. Expanding existing businesses in the park include KMDA.</t>
    </r>
  </si>
  <si>
    <t>Misc.</t>
  </si>
  <si>
    <t>505 2nd Ave,</t>
  </si>
  <si>
    <t>Northstar Pellets</t>
  </si>
  <si>
    <t>Grand Rapids</t>
  </si>
  <si>
    <r>
      <t xml:space="preserve">The NorthStar Pellets wood pellet plant in MN would occupy a  vacant 400,000-square-foot industrial facility and supports growing global demand for use in renewable energy market. The new company is made from a consortium of investors.  Private investment in the project is expected to be $134 million.  Economic Impact: 45 Direct Jobs / &gt; 245 Total Job Impact. $17 Million Per Year of Export Revenue • $14.7 Million in Wages and &gt;$56 Million in Annual Economic Activity
</t>
    </r>
    <r>
      <rPr>
        <b/>
        <sz val="11"/>
        <rFont val="Calibri"/>
        <family val="2"/>
        <scheme val="minor"/>
      </rPr>
      <t xml:space="preserve">BDPI: </t>
    </r>
    <r>
      <rPr>
        <sz val="11"/>
        <rFont val="Calibri"/>
        <family val="2"/>
        <scheme val="minor"/>
      </rPr>
      <t>The city of Grand Rapids was awarded $250,000 to assist with construction of utility and street extensions.</t>
    </r>
  </si>
  <si>
    <t>https://www.house.leg.state.mn.us/comm/docs/JB6oK3CXU024_BQCE6YFXQ.pdf</t>
  </si>
  <si>
    <t>State of Minnesota Legislature</t>
  </si>
  <si>
    <t>IRRRB ($250K), BDPI ($250K)</t>
  </si>
  <si>
    <t>Seagate Technology is set begin construction on a nearly 81,000-square-foot addition to its manufacturing facility in Bloomington. The two-story addition will add 45 jobs to the facility that manufactures components for hard drives. The existing facility is 730,000 sqft. Construction begins next month and is expected to be complete in July 2023. The facility includes gowning and locker room areas required for clean rooms used in the manufacture of electronics.
August 2022 Update: Building permit for $73.55 million in construction.</t>
  </si>
  <si>
    <t>https://www.bizjournals.com/twincities/news/2022/02/07/seagate-bloomington-facility-expansion.html?cx_testId=40&amp;cx_testVariant=cx_46&amp;cx_artPos=9#cxrecs_s</t>
  </si>
  <si>
    <t>7801 Computer Drive,</t>
  </si>
  <si>
    <t>Imprint Engine</t>
  </si>
  <si>
    <t>Imprint Engine provides promotional material and merchandise to clients. It is tripling the size of its headquarters due to rapid growth. Last month, the company began moving its 55 employees from a 12,000-sqft office and warehouse in St. Louis Park to a 40,000-sqft space in Brooklyn Center. In 2022, the company expects to hit $13 million in revenue, up from $7 million in 2020. In addition, Imprint is making a large investment in manufacturing equipment, which will allow the company to execute all of its orders in house.</t>
  </si>
  <si>
    <t>HQ MF WH</t>
  </si>
  <si>
    <t>https://www.bizjournals.com/twincities/news/2022/02/08/imprint-engine-expansion-brooklyn-center.html</t>
  </si>
  <si>
    <t>4001 Lake Breeze Ave N #400</t>
  </si>
  <si>
    <t xml:space="preserve">3M is spending $165 million on water quality improvements at its Cottage Grove plant, a site that previously contaminated area ground water, the company announced Monday. The upgrades will reduce water use and better ensure clean water is released back into the environment, 3M said. Work in Cottage Grove is ongoing and should wrap up by 2024. </t>
  </si>
  <si>
    <t>https://www.startribune.com/3m-plans-165m-in-water-upgrades-at-cottage-grove-plant/600146684/</t>
  </si>
  <si>
    <t>10746 Keats Ave S</t>
  </si>
  <si>
    <t>Vista Outdoor (Federal Ammunition)</t>
  </si>
  <si>
    <t>Vista Outdoor, which has an ammunition manufacturing facility in Anoka, wants to build a 101,404-square-foot ammunition storage building on a nearby site in Coon Rapids. The 29.4-acre Coon Rapids site allows for a “future addition” of another 100,000-square-foot building.</t>
  </si>
  <si>
    <t>Fabricated Metal (Ammunition)</t>
  </si>
  <si>
    <t>https://finance-commerce.com/2022/02/vista-scannell-pitch-warehouses/</t>
  </si>
  <si>
    <t>3745 Main St.</t>
  </si>
  <si>
    <t>Amerilab Technologies</t>
  </si>
  <si>
    <t xml:space="preserve">Plymouth-based Amerilab Technologies Inc., a contract manufacturer of effervescent nutritional powders and tablets, has paid $9 million for a second facility near its headquarters.
Amerilab acquired a 87,153-square-foot distribution center, 2 miles southeast of its current headquarters. 
Amerilab Technologies, founded in 1995 has 125 employees at its current location. </t>
  </si>
  <si>
    <t>https://finance-commerce.com/2022/02/just-sold-amerilab-pays-9m-for-plymouth-plant/</t>
  </si>
  <si>
    <t>2765 Niagara Ln N</t>
  </si>
  <si>
    <t>Bizzy Coffee just raised $7.1 million as it launches a national expansion that will triple its retail footprint.  The manufacturer of cold-brew coffee will use the funds to finance new manufacturing equipment and a new state-of-the-art manufacturing facility capable of producing 25 million units per year. The facility location hasn’t been finalized, but will be in the Twin Cities and occupy at least 50,000 square feet.</t>
  </si>
  <si>
    <t>https://www.bizjournals.com/twincities/inno/stories/fundings/2022/02/22/bizzy-coffee-national-expansion.html</t>
  </si>
  <si>
    <t>Unknown</t>
  </si>
  <si>
    <t>Cirrus Design Corp</t>
  </si>
  <si>
    <t>Cirrus expects to renovate a vacant maintenance facility to triple production in the next decade. The $25 million expansion at its Duluth headquarters will create at least 80 new jobs, increasing employees to over 1,286. Cirrus is the largest single-engine aircraft manufacturer in its class. The building needs significant retrofitting investment.
Assistance:  JCF (500K), MIF ($695K). Tax abatement $1.2 million from City/County, $300K from City forgivable loan.
Sept 2022 Update:  Cirrus Aircraft will transform the 189,000-sq-ft building  into a state-of-the-art Duluth Innovation Center. UPDATE: Grand opening in 9/2023.</t>
  </si>
  <si>
    <t>Aircraft</t>
  </si>
  <si>
    <t>https://www.startribune.com/cirrus-plans-duluth-expansion-with-an-eye-to-triple-production/600149792/</t>
  </si>
  <si>
    <t>4515 Taylor Cir,</t>
  </si>
  <si>
    <t>JCF (500K), MIF ($695K). Tax abatement $1.2 million from City/County, $300K from City forgivable loan</t>
  </si>
  <si>
    <t>Washburn Computer Group (WashburnPOS)</t>
  </si>
  <si>
    <t>Washburn Computer Group (WashburnPOS), a longtime Monticello business specializing in point-of-sales systems, plans to expand and create new jobs in the city. Seeking a grant from a s Job Creation Fund grant. 
The company is proposing to construct a 42,000 to 50,000 square foot addition to its facility requiring $6.25 million. That would more than double the existing space and would lead to doubling its workforce from 43 employees to 87 employees. 
MN DEED JCF Award $263K</t>
  </si>
  <si>
    <t>https://www.hometownsource.com/monticello_times/community/monticello/monticello-company-plans-expansion-seeks-financial-aid/article_5dfa0ca4-94c4-11ec-8e6d-8f9e6fc2d1ce.html</t>
  </si>
  <si>
    <t>Hometown Source (Monticello Times)</t>
  </si>
  <si>
    <t>218 Chelsea Rd</t>
  </si>
  <si>
    <t>Lifetouch</t>
  </si>
  <si>
    <t>The 260,000-square-foot building at 11000 Viking Drive is the corporate headquarters for school picture company Lifetouch, and houses marketing and merchandising functions for both Lifetouch and Shutterfly. The property consists of a four-story "West Building" and a five-story "East Building" which are connected by a two-story "link" building.  Shutterfly and Lifetouch will still occupy the "East Building" but propose to demolish the vacant "West Building", replace it a trail with native grasses and wildflowers, and renovate the "link" building as the new main entrance.</t>
  </si>
  <si>
    <t>https://www.bizjournals.com/twincities/news/2022/02/24/shutterfly-lifetouch-campus-sale.html</t>
  </si>
  <si>
    <t>11000 Viking Dr Suite 400</t>
  </si>
  <si>
    <t>Milk Specialities Global</t>
  </si>
  <si>
    <t xml:space="preserve">Eden Prairie-based Milk Specialties Global (MSG) bought Kay's Processing last summer. While the Kay's brand will be discontinued, MSG will grow production and employment at the Clara City facility. A third production line is planned at the 96,000-square-foot plant to increase product offerings and capabilities. MSG, which makes nutrition products for humans and animals and specializes in whey protein, is now poised to grow its "extruded protein" offerings. Last year the company employed about 30 people. </t>
  </si>
  <si>
    <t>https://www.startribune.com/kays-naturals-discontinued-months-after-sale-clara-city-plant-still-growing/600150584/</t>
  </si>
  <si>
    <t> 100 1st Ave SE</t>
  </si>
  <si>
    <t>2022-Q3</t>
  </si>
  <si>
    <t>Apple Auto Group</t>
  </si>
  <si>
    <t>Apple Auto Group was issued a building permit in February to construct a new 58,550-square-foot, 2-story automotive service, repair and sales facility to be located at 7200 Lakeville Boulevard, east of U-Haul. When complete in early 2023, this location will be one of the first standalone Ford commercial vehicle service centers.</t>
  </si>
  <si>
    <t>https://www.lakevillemn.gov/ArchiveCenter/ViewFile/Item/1354</t>
  </si>
  <si>
    <t>7200 Lakeville Boulevard</t>
  </si>
  <si>
    <t>Faribault Mills (formerly Faribault Woolen Mills)</t>
  </si>
  <si>
    <t xml:space="preserve">Faribault Woolen Mills -- initially established in 1865, shuttered in 2009, and reopened in 2011 -- set a post-reopening sales record in 2020 and again in 2021, with sales up 70% in two years. In early 2020, the mill merged with CircleRock, an American-made men's clothing company.  In two years the mill has shifted from long-run contract manufacturing to consumer-branded products. New investments include installing a new million-dollar dryer and adding a new fleet of modern looms and a new napper, which softens wool blankets at the end of the process. </t>
  </si>
  <si>
    <t>https://www.startribune.com/iconic-157-year-old-faribault-woolen-mill-seeing-unprecedented-growth/600152539/</t>
  </si>
  <si>
    <t>1500 2nd Ave NW</t>
  </si>
  <si>
    <t>Blu Dot</t>
  </si>
  <si>
    <t>Modern-furniture maker Blu Dot may relocate its Otsego warehouse operations to a new 744,744‐square-foot warehouse located in the same city. The first phase constructs a 401,544-square-foot warehouse. The second later phase adds 343,200 square feet to the building. After an expansion of over 100,000 square feet around five years ago, Blu Dot currently occupies 266,264 square feet in the Gateway North Business Center. The first phase will employ 75 full-time workers once complete, while the second phase will add another 50 full-time employees.</t>
  </si>
  <si>
    <t>https://www.bizjournals.com/twincities/news/2022/03/08/blu-dot-plan-744000-square-foot-warehouse.html</t>
  </si>
  <si>
    <t>6301 Queens Ave NE</t>
  </si>
  <si>
    <t xml:space="preserve">Branch has raised another $75 million in a Series C round of funding from private investors, allowing it to expand into more industries, double its head count and expand its new business expense management system. Its business solution  allows companies to accelerate payments to their workers. Branch plans on adding more employers by moving into fitness, hospitality and construction.  The company employs more than 120 people, with half in Minnesota. </t>
  </si>
  <si>
    <t>https://www.startribune.com/branch-payroll-technology-company-raises-another-75m-in-private-equity/600154347/</t>
  </si>
  <si>
    <t>8014 Olson Memorial Hwy 55 #471</t>
  </si>
  <si>
    <t>Nice Healthcare</t>
  </si>
  <si>
    <t>Nice Healthcare, the Minneapolis-based clinic that delivers care both virtually and within patients' homes, raised $30 million to fuel its expansion into the eastern region of the U.S, and to hire more workers.  The company operates remotely, but most of the company's staff is located in Minnesota. Virtual care is delivered through the company's own smartphone app. Nice Healthcare is approaching 200 employees, most of whom are clinicians, and will most likely double in the next few years.</t>
  </si>
  <si>
    <t>https://www.startribune.com/minneapolis-based-nice-healthcare-raises-30m-to-expand-in-home-care/600154677/</t>
  </si>
  <si>
    <t>2355 Highway 36 West, </t>
  </si>
  <si>
    <t>Omnia Fishing</t>
  </si>
  <si>
    <t>Omnia Fishing, a Golden Valley-based e-commerce site, which also deals in fishing data, has raised $4 million to drive growth through user generated content. The recent fundraising will also go towards adding engineers to its 20-person team. Omnia sells fishing tackle to anglers based on the fish, lakes and conditions they're likely to encounter in their area. Later this year, Omnia will also move into a 30,000-square-foot warehouse in the southwest metro. (It currently operates out of a 6,000-square-foot warehouse.)</t>
  </si>
  <si>
    <t>https://www.bizjournals.com/twincities/inno/stories/fundings/2022/03/10/omnia-fishing-4-million-funding-round.html</t>
  </si>
  <si>
    <t>6150 Olson Memorial Hwy</t>
  </si>
  <si>
    <t>Colder Products</t>
  </si>
  <si>
    <t>Colder Products Co. is expanding its Twin Cities footprint for the second time in less than a year. CPC began the build-out of a 168,000-square-foot facility being leased in Arden Hills, where 500 people will be employed by fall. 
The new Arden Hills facility will have space for production, warehouse and office uses. Colder manufactures connection technologies for plastic tubing used in medical equipment and food industries. It employs around 1,200 people, in the U.S., Germany and China.</t>
  </si>
  <si>
    <t>https://www.bizjournals.com/twincities/news/2022/03/11/colder-products-co-expanding-twin-cities-footprin.html</t>
  </si>
  <si>
    <t>4200 Round Lake Rd. W.</t>
  </si>
  <si>
    <t>DEE Manufacturing</t>
  </si>
  <si>
    <t>DEE was acquired by Wisconsin Aluminum Foundry in March 2022. The company expects to expand into the electric vehicle EV market. Renovations to the Crookston facility are necessary to expand into the EV market, and include a new air compressor system. The total project cost is $1.6 million.  DEE currently has 72 employees.  CEO expects a 50% increase in employees at DEE by the end of the year.
JCF Award approved: $175,000. 
Pending MIF application $242,000.</t>
  </si>
  <si>
    <t>Primary Metals</t>
  </si>
  <si>
    <t>https://www.grandforksherald.com/news/minnesota/acquisition-of-dee-inc-by-wisconsin-company-expected-to-bring-new-jobs-to-crookston</t>
  </si>
  <si>
    <t>Grand Forks Herald</t>
  </si>
  <si>
    <t>1302 Foskett St</t>
  </si>
  <si>
    <t>Altoz</t>
  </si>
  <si>
    <t>Red Lake Falls</t>
  </si>
  <si>
    <t>Red Lake</t>
  </si>
  <si>
    <t xml:space="preserve">Mower manufacturer Altoz plans to expand its facility by 62,500 sqft to accommodate company growth, increase capacity and improve operational efficiency.  Expected completion is this fall. This is the first phase of a multi-phase project.  The new manufacturing facility includes state-of-the-art metal fabrication equipment and a distribution center, as well as a modern, a multi- story office building. Last year, Altoz won awards for new product innovation with its tracked stand-on mower. </t>
  </si>
  <si>
    <t>https://www.assemblymag.com/articles/96929-altoz-to-expand-manufacturing-space-in-mn</t>
  </si>
  <si>
    <t>Best Buy Stores LLP</t>
  </si>
  <si>
    <t>Best Buy Warehouse at this address Per google website (https://stores.bestbuy.com/mn/bloomington/6203-w-111th-st-9034.html). Interior renovation to existing building.  Second level addition including new stairs and elevator.  Exterior window installation in existing concrete wall panels.</t>
  </si>
  <si>
    <t>Alliant Engineering</t>
  </si>
  <si>
    <t>Minneapolis-based engineering firm Alliant has expanded into southern Minnesota with the opening of an office in Mankato.
Alliant will serve transportation clients, with plans to eventually branch out into land development services, according to a press release. Land development services are already available in the firm’s Minneapolis and Jacksonville, Florida, offices, the company said.</t>
  </si>
  <si>
    <t>Engineering</t>
  </si>
  <si>
    <t>https://finance-commerce.com/2022/03/engineering-firm-alliant-expands-to-mankato/</t>
  </si>
  <si>
    <t>11 Civic Center Plaza, #202</t>
  </si>
  <si>
    <t>Creative Memories</t>
  </si>
  <si>
    <t xml:space="preserve">St. Cloud-based CM Group Holdings Inc., the company behind the scrapbooking brand Creative Memories, paid $5.1 million for a vacant 278,020-square-foot manufacturing plant in Sauk Rapids. 
Since facing bankruptcy in 2013, CM Group Holdings Inc. has worked quietly to revive the brand with fewer than 100 employees.  The company had been leasing 31,000 square feet of space in neighboring St. Cloud and will need only a fraction of the building. Tenants will fill the remaining space. </t>
  </si>
  <si>
    <t>HQ, MF WH</t>
  </si>
  <si>
    <t>https://finance-commerce.com/2022/03/just-sold-creative-memories-buys-new-headquarters/</t>
  </si>
  <si>
    <t>1100 Stearns Dr, </t>
  </si>
  <si>
    <t>KAMP Automation</t>
  </si>
  <si>
    <t>KAMP Automation provides customized automation systems for manufacturing companies, ranging between simple turnkey machines to full assembly lines. The company plans to expand and build a 50,000 sqft facility in Owatonna.  The company will invest about $6 million and will be hiring 23 new people within two years. Company is relocating from Waseca to Owatonna. 
MN DEED Awards: JCF $800K, MIF $140K</t>
  </si>
  <si>
    <t>https://www.owatonna.gov/AgendaCenter/ViewFile/Item/4553?fileID=6974</t>
  </si>
  <si>
    <t>City of Owatonna</t>
  </si>
  <si>
    <t>2525 Lemond Rd</t>
  </si>
  <si>
    <t>JCF ($800K), MIF ($140K)</t>
  </si>
  <si>
    <t>Polaris</t>
  </si>
  <si>
    <t>Polaris breaks ground on $22 million 28,000 sqft robotic paint factory in Roseau. The plant will likely open in 2024. The new plant will serve its existing manufacturing facility in the same city. The company is also actively recruiting for 100 open positions in Roseau.
Although the company headquarters is now in the Twin Cities suburb of Medina, the company has had its main manufacturing facility in Roseau since it opened in 1954.</t>
  </si>
  <si>
    <t>https://www.startribune.com/polaris-breaks-ground-on-22-million-robotic-paint-factory-in-roseau/600159457/</t>
  </si>
  <si>
    <t>301 5th Ave SW,</t>
  </si>
  <si>
    <t>Dispatch, a logistics tech startup, announced it has raised $50 million, which will be used to hire more employees and expand into new markets. The company is focused on growing its go-to market teams and product-engineering teams as it expands from 50 to 100 markets over the next 18 months. The company has 170 employees, but expects to be closer to 250 by the end of the year. Earlier this year, Dispatch was in the process of listing on the Australian Stock Exchange.</t>
  </si>
  <si>
    <t>https://www.bizjournals.com/twincities/inno/stories/fundings/2022/03/28/dispatch-series-c-50-million.html</t>
  </si>
  <si>
    <r>
      <t> </t>
    </r>
    <r>
      <rPr>
        <sz val="11"/>
        <rFont val="Calibri"/>
        <family val="2"/>
        <scheme val="minor"/>
      </rPr>
      <t>1401 W 94th St,</t>
    </r>
  </si>
  <si>
    <t>Gravie</t>
  </si>
  <si>
    <t>Minneapolis health benefits company Gravie plans to use $75 million in fresh investment capital to expand access to its digital marketplace across the U.S. and double its employee count in the next 12 months. Gravie operates online marketplace where employers choose health plans, and offers its own health benefits plan called Comfort. Toronto-based Georgian was among the investors, giving Gravie access to its expertise in artificial intelligence and machine learning. Gravie employs about 150 people, most of them in Minneapolis.</t>
  </si>
  <si>
    <t>https://www.startribune.com/with-75m-in-fresh-capital-minneapolis-firm-plans-to-expand-its-health-benefits-plan/600160046/</t>
  </si>
  <si>
    <t>10 S 5th St UNIT 650</t>
  </si>
  <si>
    <t>Players Health</t>
  </si>
  <si>
    <t>Players Health, a Minneapolis company that created a platform that keeps track of young athletes' injuries, closed on $28 million in funding. The money will be used for hiring and developing the app.  In addition to tracking injuries and diagnosis so players do not return until it is safe for them to do so, the risk management platform created by founder and former professional football player Tyrre Burks allow athletes to document abuse and other incidents of misconduct.</t>
  </si>
  <si>
    <t>https://www.startribune.com/minneapolis-company-that-keeps-track-of-athletes-injuries-raises-28m/600160100/</t>
  </si>
  <si>
    <t>718 N Washington Ave Suite # 402</t>
  </si>
  <si>
    <t>MnStar</t>
  </si>
  <si>
    <t>MnStar Group, which makes industrial wire harnesses, is building a 30,000-sqft facility next to its existing 24,000-sqft factory in Bovey, on the Iron Range, and should be completed by summer 2023. It is on track to double in size as it takes advantage of pandemic disruptiona of traditional supply chains.
Wire harnesses are installed everywhere from in fire trucks and snowplows to farm equipment, utility trucks and boats. Currently employs 43; could reach 60 to 70 workers in 12 to 15 months. IRRRB considering $230,592 loan toward equipment purchase.</t>
  </si>
  <si>
    <t>https://www.startribune.com/iron-range-manufacturer-expanding-set-to-double-sales-this-year/600160476/</t>
  </si>
  <si>
    <t>1251 Autumn Ln</t>
  </si>
  <si>
    <t>Jenniges Meat Processing</t>
  </si>
  <si>
    <t>Brooten</t>
  </si>
  <si>
    <t>Jennigas will be investing $5.7 million into a new 15,000 square foot facility and increasing jobs from 7 to 31. The city of Brooten was awarded $866,000 (BDPI from DEED) to assist with constructing utility extensions for a new Jennigas Meat Processing facility. The total utility extension project cost is $1,732,000. The city will fund the remaining $866,000.</t>
  </si>
  <si>
    <t>131 Pleasant Ave,</t>
  </si>
  <si>
    <t>Lineage Logistics</t>
  </si>
  <si>
    <t>Located next to the existing Premium Pork Plant, Lineage Logistics will be investing $50 million in a new 235,000 square foot cold storage facility. The company plans to create 75 jobs. The city of Luverne was awarded $467,422 to assist with extending streets and utilities within their industrial park to serve Lineage Logistics and others. Total cost of the public infrastructure project is $934,844.
Update 2023: under construction, expected opening: May 2023</t>
  </si>
  <si>
    <t>https://mn.gov/deed/newscenter/press-releases/?id=1045-525942</t>
  </si>
  <si>
    <t>1174 Co Hwy 4</t>
  </si>
  <si>
    <t>2022-Q2</t>
  </si>
  <si>
    <t>Andersen Windows</t>
  </si>
  <si>
    <t xml:space="preserve">Bayport-based Andersen Corp. has acquired the land it needs to build a 330,000-square-foot warehouse in Cottage Grove with a $2.9 million acquisition of the 19.3-acre development site. 
The new building will “process materials for window construction, add warehouse storage, and provide support to supply chain disruption issues”. Ground breaking will be soon.
The building will be connected to an existing 350,000-square-foot Renewal by Andersen facility, </t>
  </si>
  <si>
    <t>MF, WH</t>
  </si>
  <si>
    <t>https://finance-commerce.com/2022/04/andersen-corp-pays-2-9-million-for-cottage-grove-site/</t>
  </si>
  <si>
    <t>ASV Holdings</t>
  </si>
  <si>
    <t>ASV Holdings engineers premium, hard-working compact track loaders &amp; skid steers. They plan to build a 60,000 sqft warehouse; other assembly layout improvements and new equipment also are part of the project. The $9.4 million project will create more than 300 new jobs. Project will be paid with private funding of more than $6.7 million; and public assistance of a $1 million IRRR loan, a $350,000 infrastructure grant, $234,000 from the city of Grand Rapids,  $186,000 from Itasca County and  $450,000 from MN DEED.</t>
  </si>
  <si>
    <t>http://www.businessnorth.com/daily_briefing/asv-holdings-on-track-for-expansion/article_65ddad96-b1c9-11ec-a6e2-ab8821966a8a.html</t>
  </si>
  <si>
    <t>840 Lily Ln,</t>
  </si>
  <si>
    <t>$1 million loan (IRRR). a $350,000 infrastructure grant (IRRR). $234,000 (City of Grand Rapids), $186,000 ( Itasca County), $850K JCF and $450K MIF from DEED mentioned in Article=MIF appl. Outcome was $850K JCF)</t>
  </si>
  <si>
    <t>Detroit Diesel Remanufacturing</t>
  </si>
  <si>
    <t xml:space="preserve">Detroit Diesel Remanufacturing in Hibbing plans a 60,000 square-foot expansion at a cost of $17.5 million. The project will double the company's production space and will create 18 new jobs. DDR will remanufacture Electric Vehicle (EV) batteries and other Hybrid Vehicle (HV) products in support of the EV business of German parent company Daimler Truck North America.
Public assistance: IRRR Board/Chisholm-Hibbing Airport Authority (CHAA), Hibbing: $10 million loan and $500,000 infrastructure grant. </t>
  </si>
  <si>
    <t>https://carabiner.news/companies-communities-and-out-of-doors-recreation-in-ne-mn-obtain-over-15-6-million-in-financial-growth-funding-enterprise/</t>
  </si>
  <si>
    <t>11038 MN-37</t>
  </si>
  <si>
    <t>A $10 million loan (IRRR), $500,000 infrastructure grant (applied),  $5 million loan (DEED, applied)</t>
  </si>
  <si>
    <t>Daimler Truck North America.</t>
  </si>
  <si>
    <t>Food Service Specialties</t>
  </si>
  <si>
    <t>Red Wing</t>
  </si>
  <si>
    <t>Food Service Specialties to add 3 tanks, costing $1.2 million.  Food Service Specialties – makers of custom tomato and dairy-based sauces – are upgrading their operations by adding three liquid ingredient tanks for better storage. Over the years, the business expanded to specialize in different types of tomato and dairy-based sauces for restaurants, frozen food manufacturers and retail grocery stores. Construction is expected to be complete by June 1.</t>
  </si>
  <si>
    <t>https://www.republicaneagle.com/business/food-service-specialties-to-add-3-tanks-costing-1-2-million/article_0b8d5120-b1ce-11ec-a65f-47d9e3c8274a.html</t>
  </si>
  <si>
    <t>Republican Eagle</t>
  </si>
  <si>
    <t>5202 Moundview Dr</t>
  </si>
  <si>
    <t>Buro Happold</t>
  </si>
  <si>
    <t>Buro Happold, a U.K.-based design firm, has expanded its U.S. presence with five new offices -- including Minneapolis -- to now across 12 key U.S. cities. Adding to Buro Happold’s diverse staff of over 300 employees—ranging from engineers and architects to planners, economists, urban designers, and real estate professionals—the new expansion is focused on adding capacities sought after by a wide range of prominent clients.</t>
  </si>
  <si>
    <t>Architecture</t>
  </si>
  <si>
    <t>https://www.constructionspecifier.com/u-k-design-firm-expands-u-s-footprint-with-five-new-offices/</t>
  </si>
  <si>
    <t>Marex</t>
  </si>
  <si>
    <t>London-based Marex, a global financial-services firm specializing in commodities markets, has opened a Minneapolis office that will focus on agricultural products. Dan Hofstad and Charlie Fee will lead the office for Marex and oversee the continued growth of the company's over-the-counter commodities offerings in the U.S. The Minneapolis office will be the hub from which the over-the-counter commodities arm of the company, Marex Solutions, will introduce a new North American dairy line.</t>
  </si>
  <si>
    <t>https://www.bizjournals.com/twincities/news/2022/04/05/former-cargill-executives-open-minneapolis-marex.html</t>
  </si>
  <si>
    <t>5401 Gamble Drive</t>
  </si>
  <si>
    <t>Taft Stettinius &amp; Hollister</t>
  </si>
  <si>
    <t>Taft Stettinius &amp; Hollister, a legal firm in downtown Minneapolis, signed a lease for about 16,000 square feet, which is in addition to the 93,500 sqft the firm has on floors 22 through 25. The firm is adding the space because its headcount is up and its attorneys are in the office more than most firms. Justin Weinberg, partner-in-charge of Taft’s Minneapolis office, said
 the firm could add another six to 10 lawyers, to the current count of 140 lawyers, by the end of 2022.</t>
  </si>
  <si>
    <t>https://www.bizjournals.com/twincities/news/2022/04/14/taft-stettinius-hollister-ids-center.html</t>
  </si>
  <si>
    <t xml:space="preserve">80 S. Eighth St. </t>
  </si>
  <si>
    <t>Reynolds Manufacturing</t>
  </si>
  <si>
    <t>Reynolds Manufacturing &amp; Reynolds Enterprises, LLC, Grand Rapids is acquiring Northland Machine's assets and real estate in Grand Rapids. Seven to nine new jobs are projected.  The new owner will retain existing staff and meet demand for precision machined parts. Total project investment: $19,502,567. IRRR Board approved $1,010,000 in loans (two loans:  $450,000 loan and a $560,000 loan) to Reynolds Manufacturing.</t>
  </si>
  <si>
    <t>IRRB</t>
  </si>
  <si>
    <t>Mayo Clinic is investing $49 million to expand its large commercial lab in Rochester. The investment supports the ongoing investment in patient care. Construction will create new space for five clinical labs as well as room for Mayo Clinic Biopharma Diagnostics, a service used by biopharmaceutical companies. Construction for the project has started and will continue through 2025. The expansion will allow several clinical laboratories relocating from Mayo's downtown campus to expand.</t>
  </si>
  <si>
    <t>RD (Lab)</t>
  </si>
  <si>
    <t>https://www.startribune.com/mayo-clinic-investing-49-million-to-expand-lab-operation-in-rochester/600166088/</t>
  </si>
  <si>
    <t>3050 Superior Dr NW</t>
  </si>
  <si>
    <t>Cargill Animal Nutrition</t>
  </si>
  <si>
    <t>Cargill broke ground this week on a $50 million project to expand and renovate its R&amp;D facility in Elk River. The Elk River Animal Nutrition Innovation Center employs around 110 people. The updates include a new laboratory and other upgrades. Construction is to be completed in spring 2023.  Elk River is one of five global innovation centers, serving as a hub of the company’s global network of 15 animal nutrition research and technology application centers and the analytical hub for the North American business.</t>
  </si>
  <si>
    <t>https://tcbmag.com/cargill-invests-50m-in-elk-river-facility-upgrades/</t>
  </si>
  <si>
    <t>10383 165th Ave NW</t>
  </si>
  <si>
    <t>Lakeshirts</t>
  </si>
  <si>
    <t xml:space="preserve">Lakeshirts LLC will be expanding in Little Falls. Lakeshirts is headquartered in Detroit Lakes, and opened the facility in Little Falls late in 2021. About 70 people work at the Little Falls facility, which operates in a space of 75,000 square feet.  The project will increase staffing to 160 - 180 employees within the next two years. Significant investment of $2.1 million in equipment will add 18 printing machines (9 currently) and 16 embroidery machines (8 currently). MN DEED award: MIF $450K </t>
  </si>
  <si>
    <t>https://www.hometownsource.com/morrison_county_record/news/little-falls-city-council-approves-mif-application-for-lakeshirts/article_358539c4-c1f6-11ec-9153-b311a89f17b3.html</t>
  </si>
  <si>
    <t>609 13th Avenue NE Unit #LF22</t>
  </si>
  <si>
    <t>ADS Group (Copycats Media)</t>
  </si>
  <si>
    <t>The ADS Group and its music and film division, Copycats Media, are establishing Minnesota's first vinyl record pressing plant in the Twin Cities. They will outfit a 65,000-sq-ft facility in Osseo with five record presses. ADS expects to get the first two presses from Sweden in June and that Copycats will start pressing vinyl records in the fall. Copycats specializes in CD and DVD duplication and related services to  the music and film industry.  It currently outsources vinyl records production to a manufacturer in New Jersey.</t>
  </si>
  <si>
    <t>https://www.bizjournals.com/twincities/news/2022/04/25/copycats-ads-group-vinyl-record-pressing-plant.html</t>
  </si>
  <si>
    <t>JustiFi, an embedded fintech platform for vertical software-as-a-service companies, raised $4 million more in seed funding, St Paul-based JustiFi helps its clients manage payments all the way from transaction through bank transfer. Its suite of payment, banking and fintech tools work with an AI decision engine to find the lowest transaction fees in order to maximize revenue. It's also rolling out a "human-powered" platform. JustiFi has 24 employees and  is currently hiring in all departments.</t>
  </si>
  <si>
    <t>https://www.bizjournals.com/twincities/inno/stories/fundings/2022/04/26/justifi-seed-round-crosslink-capital.html?utm_source=st&amp;utm_medium=en&amp;utm_campaign=inno&amp;ana=e_n&amp;utm_content=mn</t>
  </si>
  <si>
    <t>550 Vandalia St Suite 105</t>
  </si>
  <si>
    <t>Minnetronix Medical renovated its 155,000-sq-ft office and manufacturing facility in 2021. Now Minnetronix is adding another 30,000 sqft to its facilities. Over the past year, Minnetronix has onboarded over 100 employees and is on pace to grow revenue by over 20%.  This is one of five expansions in the industrial park along Energy Park Drive.  A next phase could expand an existing three-story office building. Company revenue in 2020 was $100 million and it had 500 employees.</t>
  </si>
  <si>
    <t>https://www.bizjournals.com/twincities/news/2022/04/26/minnetronix-medical-saint-paul-headquarters.html?utm_source=st&amp;utm_medium=en&amp;utm_campaign=OT&amp;utm_content=mn&amp;ana=e_mn_OT&amp;j=27498850&amp;senddate=2022-04-26</t>
  </si>
  <si>
    <t>1635 Energy Park Dr,</t>
  </si>
  <si>
    <t>Delta Air Lines (Delta Tech Hub)</t>
  </si>
  <si>
    <t>Delta Air Lines has signed a lease for less than 80,000 square feet in the Normandale Lake Office Park's 8400 Tower in Bloomington. Delta Air Lines’ Minneapolis Tech Hub employs 600 people and is an important facility for the air travel giant. It’s one of three major locations globally that supports Delta’s ground and in-flight crews and operations. 
Update June 2022: Building permits covering 40,000 sq ft. Project called "Delta Tech Hub"
July 2024: finished cost $8.5 million, final size 89,961 sqft</t>
  </si>
  <si>
    <t>https://www.bizjournals.com/twincities/news/2022/04/26/delta-air-lines-signs-normandale-lake-lease.html</t>
  </si>
  <si>
    <t>8400 Normandale Blvd</t>
  </si>
  <si>
    <t>Tuffy's/NutriSource (KLN)</t>
  </si>
  <si>
    <t>Perham-based NutriSource is expanding its pet food manufacturing footprint in Delano. The company just completed a $20 million, 45,000-sq-ft wet food cannery inside the Tuffy’s Treats Co. manufacturing facility. NutriSource expects to add 45 new full-time jobs and produce up to 65 million cans of pet food a year as a result.  Wet food is only produced at Tuffy’s plant in Delano, whereas Dry kibbles are produced at the Perham facility.</t>
  </si>
  <si>
    <t>https://tcbmag.com/pet-food-maker-nutrisource-launches-20m-expansion-in-delano/?utm_campaign=TCB%20Briefcase&amp;utm_medium=email&amp;_hsmi=211468699&amp;_hsenc=p2ANqtz--e0S4TvKMBEGnI0KVqfGe5ey7gnsDN-BKUFNnWODNjAWIiBEt6VtJw7xxlB1VIS9EL6SEqZgnhdzs3fo58Ai8dV5KrXA&amp;utm_content=211468699&amp;utm_source=hs_email</t>
  </si>
  <si>
    <t>1141 McKinley Pkwy</t>
  </si>
  <si>
    <t>Allina Health</t>
  </si>
  <si>
    <t xml:space="preserve">Allina Health will build a new Surgical and Critical Care Pavilion on the Abbott Northwestern Hospital campus in Minneapolis.
The 10-story, 500,000 sq ft building will be built in the middle of the hospital campus, replacing the hospital’s existing operating rooms. The new building will be LEED certified in alignment with Allina Health’s commitment to environmental sustainability. Construction is expected to begin in late 2022 or early 2023. </t>
  </si>
  <si>
    <t>https://www.allinahealth.org/about-us/newsroom/2022/allina-health-names-mortenson-as-general-contractor-for-new-building-on-abbott-northwestern-campus</t>
  </si>
  <si>
    <t>NAMSA (formerly American Preclinical Services)</t>
  </si>
  <si>
    <t>NAMSA provides medical-device testing and consulting. Construction permit for commercial addition/remodel at 8945 Evergreen and 9055 Evergreen, with total combined valuation of $10,360,000. From Coon Rapids Quarterly Economic Development Report, 2022-Q1</t>
  </si>
  <si>
    <t>https://www.coonrapidsmn.gov/ArchiveCenter/ViewFile/Item/1151</t>
  </si>
  <si>
    <t>8945 Evergreen Blvd</t>
  </si>
  <si>
    <t>Russ Davis Wholesale</t>
  </si>
  <si>
    <t>Russ Davis Wholesale purchased a 89,718-square-foot Class B building at 653 Rice St. for $10.55 million. Russ Davis Wholesale distributes produce in 10 Midwestern states. The company is owned by its more than 800 employees, who serve clients through five distribution centers in three states. It sells fruit, vegetables, deli items, dips and salsa under the Crazy Fresh brand. (The building was previosly used by Urban Organics but closed in 2019.)</t>
  </si>
  <si>
    <t>https://finance-commerce.com/2022/05/just-sold-produce-wholesaler-buys-st-paul-warehouse/</t>
  </si>
  <si>
    <t xml:space="preserve"> 653 Rice St.</t>
  </si>
  <si>
    <t>Canteen One</t>
  </si>
  <si>
    <t xml:space="preserve">Canteen One signed a sublease for around 44,000 square feet in Minneapolis' North Loop neighborhood. The company will relocate more than 200 employees from Golden Valley to its new space at the start of 2023.  Canteen One is the national account manager for Canteen, which is a unit of Charlotte-based Compass Group North America and provides convenient food and drink options in vending machines, small markets, pantries and more.  Canteen's vending operation also has an office in the Twin Cities. </t>
  </si>
  <si>
    <t>WH?</t>
  </si>
  <si>
    <t>Food Services</t>
  </si>
  <si>
    <t>https://www.bizjournals.com/twincities/news/2022/05/06/canteen-one-signs-north-loop-lease.html</t>
  </si>
  <si>
    <t>700 N. Fifth St.</t>
  </si>
  <si>
    <t>Boulay</t>
  </si>
  <si>
    <t xml:space="preserve">Accounting firm Boulay, one of the largest such firms in the Twin Cities, is moving headquarters within Eden Prairie. They are looking at adding 40 to 50 people.  The firm is looking nationally for people and letting them work remote.
Boulay is moving headquarters from about 33,000 sqft at 7500 Flying Could Drive to 36,000 sqft at One Southwest Crossing, in November. The new space will have more collaboration areas and better facilities for client-facing operations, Johnson said. </t>
  </si>
  <si>
    <t>https://www.bizjournals.com/twincities/news/2022/05/09/boulay-names-new-ceo-moving-headquarters.html</t>
  </si>
  <si>
    <t>11095 Viking Drive</t>
  </si>
  <si>
    <t xml:space="preserve">Doosan Bobcat will open a $13 million construction equipment plant in Rogers before year's end and add more than 100 workers.
Doosan Bobcat, the maker of compact skid steer loaders and other construction equipment, will lease and renovate a 225,000-square-foot building 19850 Diamond Lake Road S. The new plant, Bobcat's third location in Minnesota, will produce electrical harnesses and other subassembly units for skid steer engines, cabs and tailgates. </t>
  </si>
  <si>
    <t>https://www.startribune.com/bobcat-plans-13m-plant-in-rogers-will-hire-more-than-100-workers/600171708/</t>
  </si>
  <si>
    <t xml:space="preserve">19850 Diamond Lake Road S. </t>
  </si>
  <si>
    <t>Doosan</t>
  </si>
  <si>
    <t>Korea</t>
  </si>
  <si>
    <t>Flint Hills</t>
  </si>
  <si>
    <t>Flint Hills Resources plans to begin construction in May of a $75 million solar installation to help power the company’s Pine Bend Refinery in Rosemount. The  project is the largest of its kind in the U.S. The 45-megawatt 100,000-panel installation will occupy about 300 acres next to the Pine Bend complex and will improve operational efficiencies. Project completion is summer 2023. The installation will generate enough power to satisfy 30% of the refinery’s power needs.</t>
  </si>
  <si>
    <t>Petroleum Products</t>
  </si>
  <si>
    <t>https://finance-commerce.com/2022/05/flint-hills-to-build-75m-solar-array-in-rosemount/</t>
  </si>
  <si>
    <t>12555 Clark Rd</t>
  </si>
  <si>
    <t>Mitsubishi HC Capital</t>
  </si>
  <si>
    <t>A newly renovated building in an Edina office campus, called “The E,” has secured its first tenants. Equipment finance firm Mitsubishi HC Capital America has signed a lease for the newly renovated building. Mitsubishi HC Capital America, which is a subsidiary of Tokyo-based Mitsubishi HC Capital Inc., signed a lease for over 17,000 square feet in the building. Mitsubishi HC was impressed with the collaborative spaces, building design, location and its numerous amenities</t>
  </si>
  <si>
    <t>https://www.bizjournals.com/twincities/news/2022/05/12/renovated-edina-office-campus-opens-signs-tenants.html?utm_source=st&amp;utm_medium=en&amp;utm_campaign=ae&amp;utm_content=mn&amp;ana=e_mn_ae&amp;j=27694042&amp;senddate=2022-05-12</t>
  </si>
  <si>
    <t>7151 Metro Blvd</t>
  </si>
  <si>
    <t xml:space="preserve">A newly renovated building in an Edina office campus, called “The E,” has secured its first tenants. Medical device company Relievant Medsystems has signed a lease for almost 13,000 square feet in  the newly renovated building. </t>
  </si>
  <si>
    <t>Greenberg Traurig</t>
  </si>
  <si>
    <t>Greenberg Traurig, one of the largest law firms in the country, roughly doubled its downtown Minneapolis office space a few weeks ago.  The firm took over the entire 35th floor in the Wells Fargo Center and now has about 23,000 square feet in the building. Greenberg Traurig has 28 metro-area-based attorneys.
The firm needs more space to accommodate its growing workforce and more hires are also likely.The firm specializes in intellectual property and litigation.</t>
  </si>
  <si>
    <t>https://www.bizjournals.com/twincities/news/2022/05/17/greenberg-traurig-roughly-doubles-office-space.html</t>
  </si>
  <si>
    <t xml:space="preserve">90 S. Seventh St. </t>
  </si>
  <si>
    <t>MagIron</t>
  </si>
  <si>
    <t>MagIron purchased Plant 4 for $20 million acquisition. MagIron will support the electric arc furnace method of steelmaking. The process heats scrap ore with electricity to yield high-grade, low-impurity iron ore concentrate material for steel production.  The purchase includes the facility and 2,483 acres surrounding the plant. MagIron plans to invest about $100 million in Minnesota. The facility is expected to be running by 2023-Q3 and will generate 150 jobs, production, taxes, payroll and employees utilizing nearby goods and services for the community.</t>
  </si>
  <si>
    <t>https://finance-commerce.com/2022/05/firm-aims-to-boost-green-steel/</t>
  </si>
  <si>
    <t>28754 Co Hwy 61</t>
  </si>
  <si>
    <t>Bayport-based window and door manufacturer Andersen Corp. is floating plans for a 255,000-square-foot expansion of its operations in North Branch.  The project is under environmental review, and includes loading docks and other improvements on a 27-acre site. Site grading could begin in late summer. The city is taking public comments on the proposed expansion through June 23.</t>
  </si>
  <si>
    <t>https://finance-commerce.com/2022/05/andersen-corp-mulls-expansion-in-north-branch/</t>
  </si>
  <si>
    <t xml:space="preserve"> 400th Street and Golden Avenue</t>
  </si>
  <si>
    <t>Eureka Recycling</t>
  </si>
  <si>
    <t xml:space="preserve">Minneapolis-based Eureka Recycling, one of only a handful of nonprofit social enterprise recyclers in the country, has found a new location in its hometown.  Keep It in The Ground LLC, an entity related to Eureka, purchased a 68,260-square-industrial building on over 3 acres for about $4.9 million. Eureka now is located at 2828 Kennedy Street NE, where its material recovery facility processes an average of 400 to 450 tons of recycling every day. </t>
  </si>
  <si>
    <t>https://finance-commerce.com/2022/05/just-sold-nonprofit-recycler-buys-new-location/</t>
  </si>
  <si>
    <t xml:space="preserve"> 460 Hoover St. NE.</t>
  </si>
  <si>
    <t>Centerville</t>
  </si>
  <si>
    <t>Amazon will build its third metro area delivery center in the Anoka County suburb of Centerville and the facility could be open as early as next year.The Centerville City Council at its May 25 meeting approved plans for the 140,000-square-foot warehouse that will bring up to 600 full- and part-time jobs to the city. Delivery centers are often the last stop for items en route from seller to buyer. Amazon plans to build its Centerville facility featuring a warehouse, truck terminal and office. Update: opened in Aug 2023.</t>
  </si>
  <si>
    <t>https://www.startribune.com/amazon-to-build-delivery-center-in-centerville/600178287/</t>
  </si>
  <si>
    <t>6985 21st Ave S</t>
  </si>
  <si>
    <t>Puustelli</t>
  </si>
  <si>
    <r>
      <t>Business leaders from Minnesota and Finland admired the functional Scandinavian design of the Puustelli USA kitchens in Edina, but remodeling wasn't their main focus. Minnesota is one of the states Finland has identified to increase its U.S. footprint. The Finnish delegation, with its U.S. hosts, on Thursday</t>
    </r>
    <r>
      <rPr>
        <b/>
        <sz val="11"/>
        <rFont val="Calibri"/>
        <family val="2"/>
        <scheme val="minor"/>
      </rPr>
      <t xml:space="preserve"> </t>
    </r>
    <r>
      <rPr>
        <sz val="11"/>
        <rFont val="Calibri"/>
        <family val="2"/>
        <scheme val="minor"/>
      </rPr>
      <t>celebrated the opening of Puustelli's first U.S. assembly warehouse and new showroom in Edina.</t>
    </r>
  </si>
  <si>
    <t>WH, RT</t>
  </si>
  <si>
    <t>https://www.startribune.com/minnesota-finland-strive-to-deepen-economic-ties/600178940/</t>
  </si>
  <si>
    <t>7777 Washington Ave S</t>
  </si>
  <si>
    <t>Tata Consultancy Services</t>
  </si>
  <si>
    <t>Tata Consultancy Services TCS plans to continue growing its footprint in Minnesota by expanding its hiring program in the coming year and accelerating its STEM outreach efforts in local schools. 
“We’re incredibly excited that a global leader in STEM jobs and education programs is expanding here in Minnesota, adding over 100 new jobs to our economy,” said Governor Tim Walz. 
Bloomington is home to one of the 30 TCS facilities in the U.S. TCS currently has more than 1,000 employees in the state</t>
  </si>
  <si>
    <t>https://www.tcs.com/tcs-expands-minnesota-creating-more-hi-tech-jobs-growing-stem-education-initiatives-50</t>
  </si>
  <si>
    <t>8300 Norman Center Dr Suite 1000, </t>
  </si>
  <si>
    <t>Tata Group</t>
  </si>
  <si>
    <t>Isanti</t>
  </si>
  <si>
    <t>Allina Health plans to open a new medical facility in Cambridge, Minnesota, in 2025. This location is around two miles northeast of Allina's existing Cambridge Medical Center, which will remain open until the new facility is ready. The new medical center, with unknown square footage, will cost an estimated $150 million.  The design process will begin this summer. Construction will start when the ground thaws in 2023. The new building is expected to open in 2025.</t>
  </si>
  <si>
    <t>https://finance-commerce.com/2022/06/allina-health-selects-site-for-new-150m-medical-center/</t>
  </si>
  <si>
    <t>MN-95 and MN-65</t>
  </si>
  <si>
    <t>All Flex is a Premier Global Supplier of Flexible Circuits, Rigid Flex, Flexible Heaters, Flat Flex Cables, Membrane Switches, and Plastic Moldings. Bloomington Building Permit Report - $734,428 valuation. Renovations: Interior TI build out. Minor structural additions at the roof.</t>
  </si>
  <si>
    <t>9401 JAMES AVE S</t>
  </si>
  <si>
    <t xml:space="preserve">Allina Health has signed a lease for 78,500 square feet and will be the anchor tenant of The Lakeville Specialty Center when the building opens next fall. The new space will include a specialty center on 60,000 square feet of its space and a surgery center on 18,500 square feet. </t>
  </si>
  <si>
    <t>https://www.bizjournals.com/twincities/news/2022/07/05/allina-health-davis-break-ground-on-medical-center.html</t>
  </si>
  <si>
    <t>Minneapolis-St. Paul Business Journal</t>
  </si>
  <si>
    <t>18465 185th St. W</t>
  </si>
  <si>
    <t>WareSpace</t>
  </si>
  <si>
    <t>Maryland-based WareSpace has acquired the building at 7500 Golden Triangle Drive in Eden Prairie.  WareSpace provides industrial spaces under 5,000 square feet at prices beginning at $700 per month. It lists 14 locations across the country besides Eden Prairie.</t>
  </si>
  <si>
    <t>https://finance-commerce.com/welcome-ad/?retUrl=/2022/07/just-sold-warespace-buys-first-local-property/</t>
  </si>
  <si>
    <t xml:space="preserve">7500 Golden Triangle Drive </t>
  </si>
  <si>
    <t>Wiha Tools (aka Willi Hahn Corporation)</t>
  </si>
  <si>
    <t>Wiha Tools plans to build a new 78,000 sqft manufacturing facility to a 12.87-acre site -- with room for another 80,000 square feet of building space-- on the north side of the city.  Wiha will relocate and consolidate MN operations at new site. Current employees: 61.
Total cost is $13.4 million for construction, site improvements and construction. Project will create 59 new jobs in the first five years. Construction of first phase begins in spring 2023, and is expected to open by end of 2023. Grand opening in April 2024
MIF Award: $220K.  JCF Award: $660K.  City govt expects to contribute $1.88 million in TIF and loans.</t>
  </si>
  <si>
    <t>Fabricated Metal (Tools)</t>
  </si>
  <si>
    <t>https://www.hometownsource.com/monticello_times/news/wiha-tools-paving-the-way-for-new-facility/article_d8172710-fedc-11ec-8b6f-3315680158c3.html</t>
  </si>
  <si>
    <t>Monticello Times, DEED</t>
  </si>
  <si>
    <t>1348 Dundas Cir</t>
  </si>
  <si>
    <t>MIF $220K, JCF $880K, City of Monticello TIF/Loans $1.882M</t>
  </si>
  <si>
    <t>Wiha Werkzeuge GmbH</t>
  </si>
  <si>
    <t>Schonach</t>
  </si>
  <si>
    <t>Anderson Trucking Service</t>
  </si>
  <si>
    <t>St. Cloud Building Permit Reports: Addition, $8.5 million at 725 Opportunity Dr.</t>
  </si>
  <si>
    <t>https://www.ci.stcloud.mn.us/DocumentCenter/View/23430/July-2022</t>
  </si>
  <si>
    <t>City of St. Cloud</t>
  </si>
  <si>
    <t>725 Opportunity Dr</t>
  </si>
  <si>
    <t>The Toro Company</t>
  </si>
  <si>
    <t>Bloomington Building Permit Report - $500,000 valuation. Remodeling Toro HQ office space.</t>
  </si>
  <si>
    <t>8111 LYNDALE AVE S</t>
  </si>
  <si>
    <t xml:space="preserve">Trystar is a Faribault-based manufacturer of portable power solutions that has had consistent, double-digit growth over the past five years. The company has 200 employees in Minnesota.  Trystar is just completing a 75,000-sq-ft expansion to the manufacturing plant. (In 2020, Trystar relocated operations to a 100,000-sq-ft manufacturing facility and added on a 20,000-sq-ft office space.) </t>
  </si>
  <si>
    <t>https://www.bizjournals.com/twincities/news/2022/07/13/2022-minnesota-manufacturing-trystar.html</t>
  </si>
  <si>
    <t>15765 Acorn Trail,</t>
  </si>
  <si>
    <t>Miraclon</t>
  </si>
  <si>
    <t>Miraclon continues to invest in global Flexo HUBs with a new facility in Oakdale, Minn. This is its third Flexo HUB as it continues to invest in the flexographic industry. The new facility allows customers, partners and industry stakeholders based in North and South America local access to KODAK FLEXCEL NX Technology demonstrations, training and networking events and officially opens later this year. The FLEXCEL NX System includes imager, laminator, layout software and dedicated imaging and plate materials</t>
  </si>
  <si>
    <t>https://www.miraclon.com/news/miraclon-continues-global-flexo-hub-investment-with-new-facility-in-minnesota-usa/</t>
  </si>
  <si>
    <t>Indizen Optical Technologies</t>
  </si>
  <si>
    <t xml:space="preserve">Spain-based Indizen Optical Technologies Opens A Versatile New Office In Minneapolis. The office will serve as a gathering place for IOT events and education and as a hub for broader optical meetings and training opportunities. The space will house sales and marketing staff initially, with room for additional employees as needed. IOT is an international company with offices in California and Spain that provides technology and services necessary to make premier eyeglass lenses. </t>
  </si>
  <si>
    <t>Miscellaneous</t>
  </si>
  <si>
    <t>https://invisionmag.com/iot-opens-a-versatile-new-office-in-minneapolis/</t>
  </si>
  <si>
    <t>305 N 5th Ave</t>
  </si>
  <si>
    <t>Cirrus Aircraft has opened the latest addition to its Duluth manufacturing plant – a 16,000 square foot painting facility that will increase employment by 50 persons. With the expansion, Cirrus will have 86,000 square feet of painting space. Pat Waddick, Cirrus president - innovation and operations: “We will gain 35% more capacity to complete aircraft.”  Cirrus currently employs 130 employees at the site.</t>
  </si>
  <si>
    <t>http://www.businessnorth.com/daily_briefing/cirrus-unveils-painting-addition-to-duluth-facilities/article_95cf8f22-0473-11ed-a50e-87323255cc4e.html</t>
  </si>
  <si>
    <t>Business North</t>
  </si>
  <si>
    <t>BioMerics LLC</t>
  </si>
  <si>
    <t xml:space="preserve">Salt Lake City-based Biomerics, a custom medical device manufacturer, plans to expand and create new jobs in Brooklyn Park. Biomerics currently employs about 170 people at that location.
The project would increase the leased space - from 60K sq ft to 120K sqft, build it out and include new equipment. The total project cost is $4.6 million. The expansion would add 53 new jobs over the next two years.  
MIF Award: $1 million.  JCF Award: $405K. </t>
  </si>
  <si>
    <t>https://ccxmedia.org/news/brooklyn-park-medical-device-manufacturer-biomerics-plans-expansion/</t>
  </si>
  <si>
    <t>CCX Media, DEED</t>
  </si>
  <si>
    <t>10351 Xylon Ave N Ste 100</t>
  </si>
  <si>
    <t>MIF $1M, JCF $405K, MJSP $22881</t>
  </si>
  <si>
    <t>Salt Lake City</t>
  </si>
  <si>
    <t>UT</t>
  </si>
  <si>
    <t>Stratasys</t>
  </si>
  <si>
    <t>3-D printing company Stratasyswill lease part of a Plymouth warehouse complex. Stratasys, which is legally based in Israel but has its operational headquarters in Eden Prairie, will take over the entire 168,100-square-foot Building One of the Parkers Lake Commerce Center in Plymouth to use as a warehouse.  Stratasys plans to keep its other area facilities.</t>
  </si>
  <si>
    <t>https://www.bizjournals.com/twincities/news/2022/07/28/stratasys-leases-warehouse.html</t>
  </si>
  <si>
    <t>14600 21st Ave N</t>
  </si>
  <si>
    <t>Israel</t>
  </si>
  <si>
    <t>U.S. Steel</t>
  </si>
  <si>
    <t>Keewatin</t>
  </si>
  <si>
    <t xml:space="preserve">US Steel selected its Keewatin Taconite plant (aka Keetac) for investing in a $150 million DR-grade pellet system, an entirely new product line for the company. For Keetac, it's an opportunity to produce pellets with a higher iron content than the traditional pellet, as feed for the fastest growing segment of domestic steelmaking. This will result in more stability for workers, currently at 350.
10/11/22 update: Construction began on the addition, one of the largest MN taconite projects in recent history. </t>
  </si>
  <si>
    <t>https://www.mesabitribune.com/news/local/keetac-picked-by-u-s-steel-as-dr-grade-pellet-site/article_b76ab834-0ed0-11ed-9ba8-fb6c6b46752f.html</t>
  </si>
  <si>
    <t>S Keewatin Rd</t>
  </si>
  <si>
    <t>Zeus Electric Chassis</t>
  </si>
  <si>
    <t>White Bear Lake</t>
  </si>
  <si>
    <t xml:space="preserve">Startup electric truck manufacturer Zeus Electric Chassis Inc. has closed on $6.25 million in the first part of a planned $12.5 million Series A round.
The White Bear Lake-based company plans to use the funding to increase its manufacturing capabilities, build out its sales offerings and hire product and field support teams. </t>
  </si>
  <si>
    <t>https://www.bizjournals.com/twincities/news/2022/08/10/landec-lifecore-biomedical.html</t>
  </si>
  <si>
    <t>2320 Leibel St </t>
  </si>
  <si>
    <t>Integer Holdings Corp (aka Lake Region Medical)</t>
  </si>
  <si>
    <t xml:space="preserve">Integer is the largest medical device outsource manufacturer in the world. Its two medical brands are Greatbatch Medical and Lake Region Medical. 
Lake Region Medical plans to expand in Maple Grove, relocating from Brooklyn Park. The move allows the company to consolidate 3 existing buildings into one leased site of 175,00 square feet. Total cost is $9.1 million, including renovations and new equipment. Expect to create 49 jobs over 3 years.
MIF Award: $600K. JCF Award: $475K. </t>
  </si>
  <si>
    <t>MIF $600K, JCF $475K</t>
  </si>
  <si>
    <t>Dakota Supply Group</t>
  </si>
  <si>
    <t>Dakota Supply Group (DSG) held a groundbreaking ceremony on 8/4/22 for its new location at 1760 Energy Drive in Mankato. Expected completion is 2023.  There will be Electrical, HVAC, Plumbing, and Waterworks products will be available from this location. Dakota Supply Group sells construction products and materials to contractors and developers.</t>
  </si>
  <si>
    <t xml:space="preserve">https://www.dsgsupply.com/dsgnews/dsg-mankato-gb </t>
  </si>
  <si>
    <t>1760 Energy Drive.</t>
  </si>
  <si>
    <t>Wabash National</t>
  </si>
  <si>
    <t xml:space="preserve">Wabash National, which manufactures semi-trailers, plans to relocate its refrigerated trailer operation to its plant in Little Falls. Project will create 216 jobs in Little Falls and invest $23 million in equipment by the end of 2023. Total cost is $23 million in renovations and equipment
The city of Little Falls and Morrison County approved extensions to the 10-year tax rebate Wabash received from each entity when it first moved to the area in 2017 — $50,000/year from the city and $40,000/year from the county through 2037 — a total of 20 years. 
MIF Award: $450K. </t>
  </si>
  <si>
    <t>https://www.hometownsource.com/morrison_county_record/news/wabash-to-move-entire-refrigerated-division-to-little-falls/article_692fea8e-148b-11ed-85d2-2bf53b844790.html</t>
  </si>
  <si>
    <t>Morrison County Record (Hometown Source)</t>
  </si>
  <si>
    <t>700 Paul Larson Memorial Dr</t>
  </si>
  <si>
    <t>MIF ($450K) Tax Abatement (Little Falls, Morrison County, $90K/yr over 10 yr (2x 5yr) extension of current agreement)</t>
  </si>
  <si>
    <t>American Precision Avionics</t>
  </si>
  <si>
    <t xml:space="preserve">American Precision Avionics makes wiring harnesses and other airplane components. It already employs 87 people and hopes to hire another 25 production workers yet this year. One of their biggest customers is Cirrus. </t>
  </si>
  <si>
    <t>Computer, Electronics</t>
  </si>
  <si>
    <t>https://www.duluthnewstribune.com/business/increased-aircraft-production-prompts-growth-in-duluth</t>
  </si>
  <si>
    <t>3815 Prosperity Rd</t>
  </si>
  <si>
    <t>Intek Plastics, Inc.</t>
  </si>
  <si>
    <t>Intek Plastics is looking to expand their facility by 60,000 sqft in the Hastings Business Park. Intek was running out of room in their current facility. The proposed project would include $6.6 million in construction and an additional $1.6 million in machinery and equipment investments with a total private investment of $8.2 million. The total project cost is $8.6 million includes new construction, renovations and machinery and equipment.
MIF Award: $975K.  JCF Award: $725K.  New Jobs: 46.</t>
  </si>
  <si>
    <t>http://156.99.88.54/WebLink/0/edoc/737254/VIII-08%20Authorize%20Signature%20-%20Grant%20Contract%20Agreement%20-%20Minnesota%20Investment%20Fund%20-%20Intek%20Plastics.pdf</t>
  </si>
  <si>
    <t>City of Hastings</t>
  </si>
  <si>
    <t>1000 Spiral Blvd,</t>
  </si>
  <si>
    <t>MIF $975K, JCF $725K</t>
  </si>
  <si>
    <t>Plastics manufacturer MDI  is installing a new, state-of-the-art polypropylene extruder – a machine used to create sheets that are converted into custom and standard containers – at its Grand Rapids facility. The $3.2 million machine will allow MDI to produce up to five million sheets of material per year while creating an additional 75 new jobs across northern Minnesota over the next 10 years.  MDI received grants from the Blandin Foundation and the Iron Range Resources and Rehabilitation Board (IRRRB).</t>
  </si>
  <si>
    <t>http://www.businessnorth.com/daily_briefing/mdi-invests-3-2-million-in-grand-rapids/article_f0ac8c0a-18b0-11ed-b104-4726410ed756.html?utm_source=businessnorth.com&amp;utm_campaign=/newsletters/wednesday-headlines/%3Fscrape%3Dtrue%26-dc%3D1660165201&amp;utm_medium=email&amp;utm_content=headline</t>
  </si>
  <si>
    <t>825 Lily Ln, </t>
  </si>
  <si>
    <t>Onto Innovation</t>
  </si>
  <si>
    <t>Onto Innovation stands alone in process control with our unique perspective across the semiconductor value chain. Metrology, defect inspection, lithography, and smart manufacturing software solutions for semiconductor manufacturers. Modifying existing space into a Cleanroom. Bloomington Building Permit report: $1.85 million valuation</t>
  </si>
  <si>
    <t>RD, MF</t>
  </si>
  <si>
    <t>4900 W 78TH ST</t>
  </si>
  <si>
    <t>Solsten</t>
  </si>
  <si>
    <t>Solsten, a Minneapolis-based company that uses AI to help brands gather insights on their customers, has raised $21.8 million through a Series B funding round. The company was founded in 2018 in Berlin, Germany, where most of its employees are based.  The money will be used to further develop its product suite, expand its Minneapolis headquarters and to fund future clinical trials. But over the next year, the company plans to employ more people from Minnesota.</t>
  </si>
  <si>
    <t>https://www.bizjournals.com/twincities/inno/stories/fundings/2022/08/19/minneapolis-based-solsten-series-b-funding-million.html</t>
  </si>
  <si>
    <t>Berlin</t>
  </si>
  <si>
    <t>Frana Co</t>
  </si>
  <si>
    <t>The Hopkins-based general contractor is looking to construct a manufacturing facility with outdoor storage in Rosemount. The facility would be its second in Rosemount. Frana is the 8th-largest general contractor in the Twin Cities. The project provides the capacity for manufacturing all prefabricated floors needed for Frana’s field construction and to start producing their own trusses. About 83,000 square feet of the property will be for outdoor storage. The site will employ 30 people. 
Update 7/2024: Project cost $10 million. Project size: 56,220 sqft (factory); 3,558 sqft (office)</t>
  </si>
  <si>
    <t>https://www.bizjournals.com/twincities/news/2022/08/23/frana-cos-plans-rosemount-manufacturing-plant.html</t>
  </si>
  <si>
    <t>15790 Canada Circle</t>
  </si>
  <si>
    <t>CloudHQ</t>
  </si>
  <si>
    <t>CloudHQ plans to build a $1 billion data center in Chaska, the fourth such facility in the West Creek Corporate Center. The center would be 1.4 million square feet, with a 180,000-square-foot story on top. CloudHQ is projected to provide local jurisdictions hundreds of millions of dollars in tax revenue over the lifecycle of the building. The data center would create 75 to 100 technical jobs. Construction of CloudHQ's data center is expected to begin in 2023.</t>
  </si>
  <si>
    <t>https://www.startribune.com/1-billion-1-4-million-square-foot-data-center-planned-for-chaska/600201478/</t>
  </si>
  <si>
    <t>1707 West Creek Lane,</t>
  </si>
  <si>
    <t>Arbor Wood</t>
  </si>
  <si>
    <t>Duluth wood-products firm Arbor Wood is planning a new production facility in Grand Rapids.
The long-shuttered Ainsworth Lumber Company oriented strand board (OSB) plant was purchased last year by a related entity to Arbor Wood, and includes 400,000 square feet of space and 138 acres.
Arbor Wood plans to lease the production facility and install a thermal modification kiln—just the second of its kind in North America—and a full finishing mill.</t>
  </si>
  <si>
    <t>http://www.businessnorth.com/daily_briefing/arbor-wood-expansion-plans-shift-back-to-grand-rapids/article_c883614e-2ed2-11ed-a87b-9f1f988ac5b9.html?utm_source=businessnorth.com&amp;utm_campaign=/newsletters/wednesday-headlines/%3Fscrape%3Dtrue%26-dc%3D1662584424&amp;utm_medium=email&amp;utm_content=read%20more</t>
  </si>
  <si>
    <t>MedTrace</t>
  </si>
  <si>
    <t>MedTrace, a  Danish med-tech company specializing in blood-flow imaging technology, has planted its new U.S. headquarters in Minneapolis at the IDS Center.  FThe company chose to come to the Minneapolis market because the “Twin Cities are the global hub for medical devices.”  MedTrace has about 45 employees, with four employees based in the U.S. but intends to grow that number to 10 within a year, a majority of whom will be based in Minneapolis.</t>
  </si>
  <si>
    <t>https://www.bizjournals.com/twincities/inno/stories/news/2022/09/08/denmark-medtech-medtrace-downtown-minneapolis.html</t>
  </si>
  <si>
    <t>80 S 8th St</t>
  </si>
  <si>
    <t xml:space="preserve">Graco broke ground last month on a second 500,000-square-foot building on  the Dayton campus that will serve as its worldwide distribution center. The facility will employ 150 warehouse and office staff with an average annual wage of $59,200.
Innovative BDPI award - 2022-Q3: City of Dayton will receive $2.0 million grant to construct utilities and a new street for a new 500,000 square foot Omni channel distribution facility to support Graco Inc.  </t>
  </si>
  <si>
    <t>https://www.startribune.com/graco-opens-new-solar-powered-facility-in-dayton-minn/600209034/?refresh=true</t>
  </si>
  <si>
    <t>12225 W French Lake Rd</t>
  </si>
  <si>
    <t>IBDPI</t>
  </si>
  <si>
    <t>Walgreen</t>
  </si>
  <si>
    <t>Walgreens, the second largest pharmacy chain in the country, is planning a 52,000-square-foot facility in Brooklyn Park that would significantly speed up delivery of customer prescriptions. the project is expected to create 142 full-time jobs. The micro-fulfillment facility will use $21 million in state-of-the-art robotics technology to  process 45,000 prescriptions in a day or 2,800 per hour (compared to 300 in a day at a regular pharmacy). DEED Awards: MIF $775K, JCF $475K
Update: Facility opens in May 2025.</t>
  </si>
  <si>
    <t>https://ccxmedia.org/news/walgreens-plans-brooklyn-park-facility-to-speed-up-prescription-delivery/</t>
  </si>
  <si>
    <t>10695 Winnetka Avenue</t>
  </si>
  <si>
    <t>MIF $775K, JCF $475K</t>
  </si>
  <si>
    <t>Deerfield</t>
  </si>
  <si>
    <t>Illinois</t>
  </si>
  <si>
    <t>Minkkinen Iron</t>
  </si>
  <si>
    <t>Cokato</t>
  </si>
  <si>
    <t>Minkkinen Iron is expanding in Cokato and plans to construct a new 18,000 square foot, $2 million steel fabrication facility. Minkkinen is considering additional expansions, including aluminum fabrication and powder facilities. The project will retain 34 jobs and create 20 new jobs in 5 years. 
BDPI Award to the city of Cokato: $376,500 to construct streets and utilities.  The city provides the remaining $377,000.</t>
  </si>
  <si>
    <t>225 3rd St SW,</t>
  </si>
  <si>
    <t>2022-Q4</t>
  </si>
  <si>
    <t xml:space="preserve">Minnesota food and beverage manufacturer SunOpta just broke ground on a new $31 million warehouse in Alexandria as part of its five-year goal to double its plant-based business by 2025.  The 252,000-square-foot warehouse increase overall handling and storage capacity, and support its production of oat milk. It will store raw materials for plant-based products, including oats, soybeans, hemp and tea, plus finished goods.   It's slated for completion next summer. </t>
  </si>
  <si>
    <t>https://www.bizjournals.com/twincities/news/2022/10/04/new-sunopta-warehouse-alexandria.html</t>
  </si>
  <si>
    <t>3455 34th Avenue West</t>
  </si>
  <si>
    <t>Arctic Wolf cyber defense firm secures $401M in new funding. The money will go to hiring more people and product development.  The company offers its one-stop cloud native platform coupled with a differentiated delivery model. In July 2021, the company employed just fewer than 1,000 workers. Now, Arctic Wolf has more than 2,000 employees distributed across the globe. In October 2020, the company announced it was moving its headquarters from Sunnyvale, Calif., to Eden Prairie.</t>
  </si>
  <si>
    <t>https://www.startribune.com/eden-prairies-arctic-wolf-cyber-defense-firm-secures-401m-in-new-funding/600213545/</t>
  </si>
  <si>
    <t>Workbox Holdings</t>
  </si>
  <si>
    <t>Chicago-based Workbox Holdings Inc. plans to open its own coworking space in downtown Minneapolis. Workbox plans on opening a 27,000-square-foot coworking space at 121 South 8th Street Tower, also called Deluxe Plaza. Opening is set for early November, where it will offer an office environment as well as business support services aimed at newer companies. It's Workbox's first location outside of Chicago, where it operates four coworking spaces.</t>
  </si>
  <si>
    <t>https://www.bizjournals.com/twincities/news/2022/10/12/workbox-opens-space-in-downtown-minneapolis.html</t>
  </si>
  <si>
    <t>Minneapolis St Paul Business Journal</t>
  </si>
  <si>
    <t>121 South 8th Street Tower</t>
  </si>
  <si>
    <t>Cast 7</t>
  </si>
  <si>
    <t>A $2.6 million expansion is on the burner at a Hibbing foundry. Cast 7, LLC, a foundry east of Hibbing, plans to boost production of stainless steel traveling grates. The eight-member IRRRB considers a $1.3 million loan to help fund the project, with Security State Bank funding the loan. The expansion includes adding equipment such as air compressors, blast technology, and automation and robotics equipment.
The project creates up to four new jobs paying $30 to $55 an hour.</t>
  </si>
  <si>
    <t>http://www.businessnorth.com/daily_briefing/hibbing-foundry-to-expand/article_6203f130-4c24-11ed-beb4-7bf654b58eef.html?utm_source=businessnorth.com&amp;utm_campaign=/newsletters/monday-headlines/%3Fscrape%3Dtrue%26-dc%3D1666042221&amp;utm_medium=email&amp;utm_content=read%20more</t>
  </si>
  <si>
    <t>11364 MN-37</t>
  </si>
  <si>
    <t>IRRRB</t>
  </si>
  <si>
    <t>GEOTEK is looking to expand in Stewartville (Olmsted County). GEOTEK manufactures a variety of pultruded products such as tension bars for chain link fences, retaining wall pins, and nursery stakes. Geotek's proposes expanding onto an adjacent 40‐acre parcel through the expansion of a new product line. The total project cost is $13.525 million - covering $7.9 million in new construction, $2.3 million in site improvements, $2.53 million for purchase of equipment and $810,000 in other costs. They expect to create 35 jobs over 3 years.
DEED AWARDS MIF $230K, JCF $800K</t>
  </si>
  <si>
    <t>Fabricated Metal</t>
  </si>
  <si>
    <t>https://www.kaaltv.com/news/groundbreaking-for-stewartville-business-expansion-geotek/</t>
  </si>
  <si>
    <t>JCF $800K, MIF $230K</t>
  </si>
  <si>
    <t>Warehouse Storage (GT Express)</t>
  </si>
  <si>
    <t>Warehouse Storage will renovate main former Corchran's building to create 81,000 square feet of warehouse, manufacturing and office space.  Intended use after remodeling is truck maintenance, warehousing of truck parts and possibly air conditioners. An affiliated entity GT Express is located in Illinois; this is an expansion into Minnesota.  Will create 11 jobs and leverage $615,712 of private investment.
DEED BDPI award to City of Waseca $102,297 for cleanup of stie contamination from chlorinated solvents.</t>
  </si>
  <si>
    <t>https://mn.gov/deed/newscenter/press-releases/?id=557678</t>
  </si>
  <si>
    <r>
      <t> </t>
    </r>
    <r>
      <rPr>
        <sz val="11"/>
        <rFont val="Calibri"/>
        <family val="2"/>
        <scheme val="minor"/>
      </rPr>
      <t>1340 S State St</t>
    </r>
  </si>
  <si>
    <t>DEED Cleanup Fund (to City of Waseca)</t>
  </si>
  <si>
    <t>Motion Ai</t>
  </si>
  <si>
    <t xml:space="preserve">Motion Industries opened its new larger facility in June 2022.  As an industrial automation solution provider, Motion Ai needed a larger space for their growing business. The new 105,000-square-foot premises features a gain of 55,000 square-feet over the old location, which was also in Eden Prairie. The larger space allows for a regional sales and support center, training classrooms, a regional fulfillment center, assembly and fabrication shops, and R&amp;D and engineering labs. </t>
  </si>
  <si>
    <t>MF, RD, Other</t>
  </si>
  <si>
    <t>https://www.inddist.com/company-expansion-consolidation/news/22512202/motion-ai-opens-new-minnesota-facility</t>
  </si>
  <si>
    <t>Industrial Distribution (www.inddist.com)</t>
  </si>
  <si>
    <t>7350 Golden Triangle Drive</t>
  </si>
  <si>
    <t>Doppler Gear</t>
  </si>
  <si>
    <t>Isle</t>
  </si>
  <si>
    <t>Mille Lacs</t>
  </si>
  <si>
    <t>Doppler Gear has over 50 years of experience in custom gear manufacturing
Its four manufacturing facilities in the upper Mid-West.  Doppler Gear plans to invest $500,000 in two new buildings in Isle and buy new equipment. Will retain 12 jobs retained and create 38 new jobs within 5 years. 
DEED BDPI $201,022 to construct streets and utilities in a 17 acre industrial park to support Doppler (total public infrastructure cost is $652,020)</t>
  </si>
  <si>
    <t>n/a (DEED, Doppler Gear)</t>
  </si>
  <si>
    <t>39872 Highway 47</t>
  </si>
  <si>
    <t>BDPI (for infrastructure)</t>
  </si>
  <si>
    <t>PV panel assembler Heliene announced the opening of a 420 MW plant in Minnesota, adding to the Canadian company’s existing 150 MW operation in the state (related to an original announced expansion in 2021). Heliene now employs 100 Minnesotans. 
The company will spend $7 million on updated equipment for the 150 MW plant, with aims to double its capacity to 300 MW. The company expects this upgrade to be complete by July 2023.</t>
  </si>
  <si>
    <t>https://pv-magazine-usa.com/2022/10/31/heliene-adds-420-mw-u-s-solar-panel-assembly-line/</t>
  </si>
  <si>
    <t>Bloomington Building Permit Report - $477,000 valuation. Interior demo and buildout of existing space.</t>
  </si>
  <si>
    <t>OF/MF?</t>
  </si>
  <si>
    <t>9250 BLOOMINGTON FWY</t>
  </si>
  <si>
    <t xml:space="preserve">Spectro Alloys, a leading Midwest-based recycler of aluminum, celebrated the opening of its state-of-the-art distribution center. The $6-million project completed this fall is part of the company’s ongoing efforts to modernize and become Minnesota’s recycling plant of the future. The 70,000-square-foot distribution center helps streamline the production, shipping and receiving processes at Spectro Alloys, which provides recycled aluminum ingots to regional die casters and foundries. </t>
  </si>
  <si>
    <t>https://wasteadvantagemag.com/spectro-alloys-unveils-70000-square-foot-distribution-center/</t>
  </si>
  <si>
    <t>Waste Advantage Magazine, DEED</t>
  </si>
  <si>
    <t>Clow Manufacturing</t>
  </si>
  <si>
    <t>Merrifield</t>
  </si>
  <si>
    <t>Clow Stamping Manufacturing, a provider of metal stampings to agriculture and other industries, wants to add 100,000 square feet of manufacturing space to its 285,000-square-foot facility in Merrifield, near Nisswa.
The company expects to create 65 jobs over the next two years as part of the $18.9 million expansion. The jobs would pay $17.50 on average. The project includes $14.9 million in new construction.
DEED Awards: MIF $450K. JCF $840K.
Update: Construction begins June 2023.</t>
  </si>
  <si>
    <t>https://finance-commerce.com/2022/11/metal-stamping-company-plans-nisswa-expansion/</t>
  </si>
  <si>
    <t>23103 Co Rd 3</t>
  </si>
  <si>
    <t>MIF $450K. $840K JCF.</t>
  </si>
  <si>
    <t>Twin Ignition Startup Garage</t>
  </si>
  <si>
    <t xml:space="preserve">Twin Ignition, a venture capital fund that invests in local tech startups, is expanding in Northeast Minneapolis. An affiliated entity affiliated acquired the Grain Belt complex’s Keg House Arts Building for about $5 million. Twin Ignition plans to relocate companies that are getting too big for the 6,000-square-foot Startup Garage into bigger spaces within the nearly 45,000-square-foot Keg House to help support their next phase of growth. </t>
  </si>
  <si>
    <t>https://www.bizjournals.com/twincities/news/2022/11/10/twin-ignition-keg-house-building-northeast-mpls.html?utm_source=st&amp;utm_medium=en&amp;utm_campaign=inno&amp;ana=e_n&amp;utm_content=mn</t>
  </si>
  <si>
    <t>1317 Marshall St NE</t>
  </si>
  <si>
    <t>Taco John's</t>
  </si>
  <si>
    <t>Taco John's last month opened a new state-of-the-art test kitchen, where chefs and researchers are developing new recipes and experimenting with new gadgets.  The test kitchen is part of a 20,000-square-foot restaurant support center that Taco John's created in offices above the West End shops. The center has offices for about 30 employees, and helps run the chain's operations, supply chain, marketing and technology. 
8/19/25 update: Taco John's has moved its corporate HQ to St Louis Park</t>
  </si>
  <si>
    <t>Other/OF</t>
  </si>
  <si>
    <t>https://www.startribune.com/taco-johns-opens-test-kitchen-in-st-louis-park/600224663/</t>
  </si>
  <si>
    <t>Padagis US LLC</t>
  </si>
  <si>
    <t>Padagis is a pharmaceutical manufacturer that offers high quality generic Rx and OTC products.  Padagis owns and operates a manufacturing site in New Hope. Padagis plans to add $5,000,000 in new modernized manufacturing machinery and equipment and 60 new employees at the New Hope site. Currently, Padagis is New Hope’ s sixth largest employer, with approximately 315 employees. The investment will increase the long-term viability of the New Hope plant.
DEED Awards 2023-Q1: MIF ($980K)</t>
  </si>
  <si>
    <t>https://image.ci.new-hope.mn.us/WebLink/PDF/aa4a3c8e-5bd3-4576-b637-3e45ebd21377/11%2014%2022%20City%20Council%20Minutes.pdf</t>
  </si>
  <si>
    <t>City of New Hope (City Council Minutes, 11/14/2023)</t>
  </si>
  <si>
    <t>3940 Quebec Avenue North</t>
  </si>
  <si>
    <t xml:space="preserve">Winnebago plans to open a 40,000 square-foot Advanced Technology Innovation Center in  Minnesota focused on developing innovative technologies for the RV and boating markets. 
Location is TBD but will be near its headquarters in Eden Prairie. Winnebago will lease rather than buy or build. Buildout of the facility will begin in early 2023, with move-in starting in May or June.
Current employees working on the 25 person R&amp;D team in Eden Prairie or north Iowa will shift to the new facility. </t>
  </si>
  <si>
    <t>https://www.bizjournals.com/twincities/news/2022/11/16/rv-minnesota-winnebago-innovation.html</t>
  </si>
  <si>
    <t>Doran Group</t>
  </si>
  <si>
    <t>The Doran Group will relocate its headquarters to Eden Prairie by the end of next April. Doran paid for $3.5 million this week for an office building and plans to renovate the building and move its operations into the nearly 19,000-square-foot space - relocating from a Bloomington office building. They will invest more than $1 million in building improvements and new amenities.</t>
  </si>
  <si>
    <t>https://www.bizjournals.com/twincities/news/2022/11/17/doran-group-relocating-headquarters-eden-prairie.html</t>
  </si>
  <si>
    <t>6423 City West Parkway</t>
  </si>
  <si>
    <t>Aerospace Fabrication</t>
  </si>
  <si>
    <t>Farmington</t>
  </si>
  <si>
    <t>Aerospace Fabrication will be constructing a new building inside the Farmington Industrial Park. Employees and city leaders celebrated the addition with a Nov. 2, 2022 groundbreaking ceremony. The 13,333-square-foot addition will allow for increased production and new processing systems. Anticipate the project to wrap up by spring 2023. 
UPDATE: Aerospace Fabrication cut the ribbon in summer 2023 on a 13,333-square-foot expansion of its building.</t>
  </si>
  <si>
    <t>https://www.hometownsource.com/sun_thisweek/community/dakota_county/aerospace-fabrication-breaks-ground-in-farmington/article_e660a0da-5e86-11ed-be4a-5bdb034b417f.html</t>
  </si>
  <si>
    <t>Hometown Source</t>
  </si>
  <si>
    <t>5147 208th St W,</t>
  </si>
  <si>
    <t>Cambria</t>
  </si>
  <si>
    <t>Cambria, known for its luxury countertops, expands again. Cambria's $130 million quartz-countertop factory expansion roared to life this month — and with it, the family-owned company now has 1 million square feet of operations an hour south of Minneapolis in Le Sueur.
The plant addition, the third in 15 years, offers a sixth production line and 50 new jobs. Already, Cambria has added 130 jobs this year and now employs 1,900 workers nationwide. It will need an additional 100 workers long term.</t>
  </si>
  <si>
    <t>Non-metallic Minerals</t>
  </si>
  <si>
    <t>https://www.startribune.com/cambria-known-for-its-luxury-countertops-expands-again/600227748/</t>
  </si>
  <si>
    <t>31496 Cambria Ave</t>
  </si>
  <si>
    <t>George Modular Innovation Solutions</t>
  </si>
  <si>
    <t>Former NBA star and developer Devean George is bringing a modular housing manufacturing plant (George Modular Innovation Solutions) to North Minneapolis. Once operational, he expects to create about 350 union jobs, paying at least $31 an hour. The products will be using low-gauge steel, rather than wood. 
UPDATE 3/2024. George Modular purchased an 82,972-square-foot warehouse building in North Minneapolis. The project cost is now $31 million, and includes buildout. Expect to start construction this spring, complete construction this fall. 
Fin. Asst.: MIF $3M, JCF $756K, City of Mpls $2M</t>
  </si>
  <si>
    <t>https://finance-commerce.com/2022/11/new-modular-manufacturer-has-north-minneapolis-plans/</t>
  </si>
  <si>
    <t>1400 Washington Ave N</t>
  </si>
  <si>
    <t>City of Mpls ($2M), MIF ($3M), JCF ($756,816)</t>
  </si>
  <si>
    <t>Dakota Supply Group (DSG) has been serving customers in Monticello and Otsego for several years and moved from Monticello to its new location in Otsego. The new facility has expanded the company’s services to the plumbing, waterworks, on-site sewer, water, and well, HVAC, and electrical needs in this growing area. DSG is headquartered in Plymouth, Minnesota, and has 13 locations in Minnesota and more than 300 employee-owners.</t>
  </si>
  <si>
    <t>https://www.dsgsupply.com/dsgnews/dsg-monticello</t>
  </si>
  <si>
    <t>7505 Kadler Ave NE</t>
  </si>
  <si>
    <t>Axis Communications</t>
  </si>
  <si>
    <t>Axis Communications, a maker of security camera systems, is opening a showroom and 'experience center' at the Mall of America's office complex 
to  showcase the company’s security products for customers to get a hands-on experience of Axis technology. The 4,500-square-foot experience center feature a 16-by-9-foot video wall of live footage of the Twin Cities from rooftop cameras.  
Axis Communications' parent company is Axis Communications AB, based in Sweden, whose ultimate parent company is Canon, based in Japan.</t>
  </si>
  <si>
    <t>https://www.bizjournals.com/twincities/news/2022/12/08/axis-experience-center-opening-moa.html</t>
  </si>
  <si>
    <t>2131 Lindau Ln</t>
  </si>
  <si>
    <t>Canon</t>
  </si>
  <si>
    <t>HistoSonics has  raised $100 million. The funding will go toward supporting the commercial launch of its device, called Edison, by the second half of 2023, developing more applications for the device and undergoing additional clinical trials. The company utilizes histotripsy which uses sonic waves to destroy cancerous body tissue. Funds will ae used to expand its current 30,000-square-foot facility in Plymouth and another in Ann Arbor, Mich.. Half of its 70 full-time employees are in Plymouth.</t>
  </si>
  <si>
    <t>https://www.bizjournals.com/twincities/inno/stories/fundings/2022/12/13/company-sonic-waves-cancer-100-million.html</t>
  </si>
  <si>
    <t>16305 36th Ave N STE 300</t>
  </si>
  <si>
    <t>Piper Sandler</t>
  </si>
  <si>
    <t>Piper Sandler &amp; Co. has signed a 15-year lease to occupy 113,000 square feet of space at North Loop Green, a mixed-use development under construction in the North Loop district of downtown Minneapolis, according to the project’s developer. Piper Sandler &amp; Co., an investment banking firm, will relocate its headquarters to the development as its anchor tenant in summer 2025, Hines said in a press release.</t>
  </si>
  <si>
    <t>https://finance-commerce.com/2022/12/north-loop-green-lands-big-tenant/</t>
  </si>
  <si>
    <t>350 N 5th St,</t>
  </si>
  <si>
    <t>Anagram International</t>
  </si>
  <si>
    <t>Bloomington Building Permit: Pallet Racking (likely to a warehouse type space)</t>
  </si>
  <si>
    <t>5501 W OLD SHAKOPEE RD</t>
  </si>
  <si>
    <t>SFM Mutual Insurance</t>
  </si>
  <si>
    <t>Bloomington Building Permit: Interior tenant buildout (likely to office/related space)</t>
  </si>
  <si>
    <t>3500 AMERICAN BLVD W</t>
  </si>
  <si>
    <t>Massman Companies</t>
  </si>
  <si>
    <t>Massman Companies pursues $16.3M expansion into Alexandria.  To support its operations of manufacturing automated food-packaging machines in Villard, Massman is planning to build a 75,000-square-foot facility. The project is expected to create at least 10 new, high-paying full-time jobs within two years. Also 100 jobs will be transfered from Villard (where there are 378 employees).  Massman is requesting $2 million in TIF from the city. Groundbreaking ceremony in May 2023. Expect to complete the new facility by early 2024.
DEED Awards: JCF $175K, MIF $150K</t>
  </si>
  <si>
    <t xml:space="preserve">Machinery </t>
  </si>
  <si>
    <t>https://darik.news/wisconsin/massman-seeks-tax-help-for-16m-expansion-in-alexandria-alexandria-echo-press/814866.html</t>
  </si>
  <si>
    <t>Darik News, DEED</t>
  </si>
  <si>
    <t>County Road 46 and Nevada Street, Alexandria mn</t>
  </si>
  <si>
    <t>JCF ($175K), MIF ($150K)</t>
  </si>
  <si>
    <t>Seer Medical</t>
  </si>
  <si>
    <t xml:space="preserve">Rochester </t>
  </si>
  <si>
    <t>Seer Medical, based in Melbourne, is engaged in a long-term research collaboration with Mayo Clinic experts and participated in the Mayo Clinic Platform_Accelerate program in 2022. As a result, in 2022, Seer established its first U.S. office in Rochester, and was recognized with the Governor’s International Investment Award. Seer could hire up to 20 new positions locally and nationally in the next year. Seer Medical has obtained U.S. Food and Drug Administration (FDA) approval of Seer Home™ for the diagnosis of epilepsy via multi-day video-EEG-ECG monitoring in 2022.</t>
  </si>
  <si>
    <t>https://seermedical.com/uk/announcement/seer-medical-named-recipient-of-minnesota-governors-international-trade-award/</t>
  </si>
  <si>
    <t>14 4th St SW suite 200</t>
  </si>
  <si>
    <t>2023-Q1</t>
  </si>
  <si>
    <t xml:space="preserve">Schoenfelder Renovations </t>
  </si>
  <si>
    <t>Schoenfelder Renovations Inc. in Hopkins closed Dec. 21 on the acquisition of a building. The building be their national headquarters, to support work in 46 states. Schoenfelder occupy most of one floor, and a new tenant will lease most of another floor.</t>
  </si>
  <si>
    <t>https://finance-commerce.com/2023/01/just-sold-shoenfelder-renovations-buys-new-hq/</t>
  </si>
  <si>
    <t>7808 Creekridge Circle</t>
  </si>
  <si>
    <t>Reprise Biomedical Inc., a Plymouth-based medical device company that develops technology to help treat wounds and strengthen soft tissue, has raised just over $13 million. The funds will be used to make hires and grow its manufacturing and inventory capabilities.</t>
  </si>
  <si>
    <t>https://www.bizjournals.com/twincities/inno/stories/fundings/2023/01/04/plymouth-based-company-raises-13m-medical-device.html</t>
  </si>
  <si>
    <t>17400 Medina Rd #100</t>
  </si>
  <si>
    <t>Husch Blackwell</t>
  </si>
  <si>
    <t>Husch Blackwell, a Kansas City, Mo.-based law firm with more than 20 offices across the U.S., plans to lease around 10,000 square feet of office space in downtown Minneapolis. The new office opened in the IDS Center in May 2023. They intend to hire around 15 attorneys to start, with plans to expand. In December, the firm announced it would add about 30 people, including 11 attorneys - doubling its count at the Minneapolis office.</t>
  </si>
  <si>
    <t>https://www.bizjournals.com/twincities/news/2023/01/17/husch-blackwell-looks-to-enter-minneapolis-market.html</t>
  </si>
  <si>
    <t>80 S 8th St #4800</t>
  </si>
  <si>
    <t>Blue Cross Blue Shield of Minnesota</t>
  </si>
  <si>
    <t>Blue Cross and Blue Shield of Minnesota laid off about 80 staffers last week as part of reviewing its business operations. These staffers may be eligible for other positions in the company. After sanctions related to outsourcing, BCBS-MN is hiring 300-plus to manage enrollees in public insurance programs (e.g. Medicaid). The additional hiring has already started. Currently, Blue Cross employs about 3,025 people.</t>
  </si>
  <si>
    <t>https://www.startribune.com/after-outsourcing-trouble-blue-cross-of-minnesota-hiring-300-to-manage-public-insurance-enrollees/600244849/</t>
  </si>
  <si>
    <t>3400 Yankee Dr,</t>
  </si>
  <si>
    <t>Honeywell</t>
  </si>
  <si>
    <t>Honeywell International Inc. has plans to invest further in its Plymouth campus by constructing a new laboratory building where they will develop and build innovative weather-measurement equipment. The company plans to hire a handful of new employees to staff the lab and will likely start with two to three employees working in the space. The majority of the new space in the over 5,700-square-foot lab building would be used for manufacturing and laboratory work. The campus is home to the company’s aerospace arm.</t>
  </si>
  <si>
    <t>https://www.bizjournals.com/twincities/news/2023/01/19/honeywell-laboratory-expansion-in-plymouth.html</t>
  </si>
  <si>
    <t>12001 Highway 55</t>
  </si>
  <si>
    <t>Plymouth Plastics</t>
  </si>
  <si>
    <t>Plymouth Plastics Inc. and TSI Plastics Inc. have been tenants in the same building in Blaine through 50 years. Now they are moving together to a new location in Anoka. 
The companies paid $5.4 million for the 55,685-square-foot Class B building. The two buyers had been searching for more space for more than a year and the Anoka property had what they needed.  The property included a shop, eight furnished offices, 72 work stations, 24 training tables, projectors and screens, even fully equipped breakrooms, and other needed infrastructure. The two companies have roughly 60 workers combined. The closing was on Jan 1.</t>
  </si>
  <si>
    <t>https://finance-commerce.com/2023/01/just-sold-plastics-companies-moving-to-anoka-together/</t>
  </si>
  <si>
    <t xml:space="preserve"> 1100 McKinley St.</t>
  </si>
  <si>
    <t>Saltbox Co</t>
  </si>
  <si>
    <t xml:space="preserve">Saltbox Inc. provides co-warehousing suites to e-commerce entrepreneurs and is opening a 76,000-square-foot-facility in Arden Hills. The facility includes over 200 warehouse suites equipped with conference rooms, loading dock access and photo studios.  Saltbox has over 500 member businesses, with 70% being e-commerce companies selling physical goods directly to consumers. Nearly 75% of Saltbox member businesses are led by women or people of color. Saltbox has 10 other co-warehousing facilities in the United States. </t>
  </si>
  <si>
    <t>https://www.bizjournals.com/twincities/news/2023/01/19/saltbox-co-warehouse-coming-to-arden-hills.html</t>
  </si>
  <si>
    <t xml:space="preserve"> 4440 Round Lake Road W</t>
  </si>
  <si>
    <t>TSI Plastics</t>
  </si>
  <si>
    <t>Plymouth Plastics Inc. and TSI Plastics Inc. have been tenants in the same building in Blaine through 50 years and two generations of family ownership. Now TSI Plastics and Plymouth Plastics are moving together to a new location in Anoka. The companies paid $5.4 million for the 55,685-square-foot Class B building, and closing was in January 2023, They had been searching for more space for over a year.  The property included a shop, eight furnished offices, 72 work stations, 24 training tables, projectors and screens.</t>
  </si>
  <si>
    <t>City of Owatonna: 1/2023 Report: Building permit issued 1/23/23 for New industrial construction at 315 32nd Ave NW, $5,000,000 valuation.  Background: 4/16/2020 Per City of Owatonna documents: Cemstone intends to build a new plant. City and Cemstone agreed to "swap" ownership of the site at 315 32nd Avenue Northwest in the Industrial Park with Cemstone’s current production site at 639 Riverside Avenue.  No cash is being exchanged, the City and 'Cemstone are “swapping” properties.</t>
  </si>
  <si>
    <t>https://www.owatonna.gov/DocumentCenter/View/7722/January-2023-Detailed-Permit-Report-PDF?bidId=</t>
  </si>
  <si>
    <t xml:space="preserve"> 315 32nd Ave NW</t>
  </si>
  <si>
    <t>Sensata Technologies</t>
  </si>
  <si>
    <t xml:space="preserve">Construction Permit Description:  Expansion of existing office space into adjacent tenant. 
Sensata Technologies Holding plc develops, manufactures, and sells sensors, sensor-based solutions, controls, and other products in the Americas, Europe, Asia, and internationally. It operates in two segments, Performance Sensing and Sensing Solutions. </t>
  </si>
  <si>
    <t>5775 W OLD SHAKOPEE RD</t>
  </si>
  <si>
    <t>Attleboro</t>
  </si>
  <si>
    <t>RJ Schinner</t>
  </si>
  <si>
    <t>RJ Schinner, a Menomonee Falls, Wisconsin-based company, wants to build a 126,000-square-foot industrial building.The 12.66-acre site also includes room for a future 78,800-square-foot building. The first building could be finished in 2023. Predicted new jobs: 20 to 25 employees, could grow to up to 35. RJ Schinner provides distribution services for food service wholesalers, paper wholesalers and others. RJ Schinner has a location in Oakdale, with additional facilities in other states.</t>
  </si>
  <si>
    <t>https://finance-commerce.com/2023/01/distribution-company-plans-to-expand-in-cottage-grove/</t>
  </si>
  <si>
    <t>7530 91st St. S</t>
  </si>
  <si>
    <t>Tracy</t>
  </si>
  <si>
    <t>Nextern Inc</t>
  </si>
  <si>
    <t>Nextern is a a medical device design company. Referred to as Project Next in media articles in January 2023.  Edina-based Endeavor Development is developing a building that is just over 106,000 square feet. The company plans to move its HQ to Maple Grove. The building is scheduled to be completed in mid-2023. 188 existing jobs would move to the new Maple Grove location, with plans to add 75 jobs. The jobs are mainly engineering-related.
DEED Awards 2023-Q1: JCF ($450K), MIF ($600K)</t>
  </si>
  <si>
    <t>https://www.bizjournals.com/twincities/news/2023/03/24/endeavor-arbor-lakes-business-park-industrial.html</t>
  </si>
  <si>
    <t>Minneapolis St Paul Business Journal, DEED, Press and News</t>
  </si>
  <si>
    <t xml:space="preserve"> 10601 Fountains Drive</t>
  </si>
  <si>
    <t>JCF ($450K), MIF ($600K)</t>
  </si>
  <si>
    <t>Advisory Aerospace</t>
  </si>
  <si>
    <t>Vivek Saxena founded Advisory Aerospace OSC, a Hopkins-based software-development and analytics service provider for complex-product manufacturers in 2017. Anticipating headcount and revenue growth over the next year, the company recently secured a nearly $1 million grant from the National Science Foundation. The software is already being used in 15 factories across 10 states. Looking ahead, the 12-person company intends to double its headcount within the next 12 to 18 months.</t>
  </si>
  <si>
    <t>https://www.bizjournals.com/twincities/inno/stories/news/2023/01/26/aerospace-exec-supply-chain-million-grant.html</t>
  </si>
  <si>
    <t>33 10th Ave S Ste 150,</t>
  </si>
  <si>
    <t>Nucleus Labs INC dba Nucleus RadioPharma</t>
  </si>
  <si>
    <t>Mayo Clinic and Eclipse launched Nucleus RadioPharma with $6 million in financing in 2022. The focus of Nucleus RadioPharma is to develop technologies for the clinical development and manufacture of radiopharmaceuticals for the treatment of cancer. Nucleus plans to have manufacturing facilities in Rochester to continue working closely with Mayo Clinic. The project will finish 6,500 sqft of lab and manufacturing space and 3,500 sqft of office space at a cost of $5 million and will create 28 jobs within the first 2 years.
DEED Awards 2023-Q1: JCF ($500K), MIF ($220K)</t>
  </si>
  <si>
    <t>https://www.postbulletin.com/business/city-asks-for-220-000-state-grant-to-support-mayo-clinic-start-up</t>
  </si>
  <si>
    <t>Post Bulletin, DEED</t>
  </si>
  <si>
    <t>JCF ($500K), MIF ($220K), JTIP ($145.55K)</t>
  </si>
  <si>
    <t>A 168,000-square-foot warehouse/office building is planned to be constructed for Magnum Trucking on the southern lot, which is currently under construction. Expected Completion: January 2024</t>
  </si>
  <si>
    <t>21895 Jacquard Ave, </t>
  </si>
  <si>
    <t>Fargo</t>
  </si>
  <si>
    <t>Vetrotech St-Gobain</t>
  </si>
  <si>
    <t xml:space="preserve">Vetrotech Saint-Gobain, a glass-manufacturing subsidiary of French construction materials giant Saint-Gobain, is relocating its North American headquarters to Faribault, MN, and will share the campus with Sage Glass, another Saint Gobain business. The new HQ will also be a $7 million, 10,000 sqft facility for glass processing and framing manufacturing and is expected to be completed in 2023. About  40 employees will work there. Some of employees will transfer from Auburn, WA, but Vetrotech plans to hire in new employees to work in key business functions in Faribault. </t>
  </si>
  <si>
    <t>Glass</t>
  </si>
  <si>
    <t>https://www.bizjournals.com/twincities/news/2023/01/31/vetrotech-saint-gobain-faribault-sageglass.html</t>
  </si>
  <si>
    <t>St Gobain</t>
  </si>
  <si>
    <t>Courbevoie</t>
  </si>
  <si>
    <t>All Flex Solutions</t>
  </si>
  <si>
    <t xml:space="preserve">All Flex had previously acquired the property at 1200 96th W and is in the process of building it out to expand manufacturing capacity. Their new facility is called the Rigid Flex Center of Excellence. All Flex plans a new flexible circuit manufacturing plant to increase its manufacturing capacity, as well as plating and final finishing processes.  Construction Permit Description: The proposed tenant improvement project consists of 22,280 sf of manufacturing fit out. </t>
  </si>
  <si>
    <t>9550 BLOOMINGTON FWY</t>
  </si>
  <si>
    <t>Advanced Interconnect Technologies LLC</t>
  </si>
  <si>
    <t>AIT was approved for funding by the St. Cloud EDA. AIT plans to at least double the size of the machining shop on the southern side of its property. There is room for future expansion on the northern end of the property as well. AIT’s $3.8 million expansion will be partially funded by two grants. 
DEED Awards 2023: JCF ($341.5K), MIF ($125K)</t>
  </si>
  <si>
    <t>https://knsiradio.com/2023/02/08/366939/</t>
  </si>
  <si>
    <t>KNSI Radio</t>
  </si>
  <si>
    <t>128 Franklin Avenue Northeast</t>
  </si>
  <si>
    <t>JCF ($341.5K), MIF ($125K)</t>
  </si>
  <si>
    <t>HATO Lighting</t>
  </si>
  <si>
    <t>HATO provides the best lighting solutions for the agricultural sector (barns, facilities etc). Lighting solutions can help maintain or even increase agricultural production and animal welfare. Optimal light climate forms the basis for responsible and profitable livestock farming. HATO's new office in Minnesota will act as the central hub for HATO in the Americas, under which sales, service and delivery will take place, and represents a mechanism for expanding their growth and presence in the Americas .</t>
  </si>
  <si>
    <t>https://www.hato.lighting/en/hato-insights/latest-news/a-bright-future-for-farmers-with-hato-usa</t>
  </si>
  <si>
    <t>Sittard</t>
  </si>
  <si>
    <t>Falls Fabricating</t>
  </si>
  <si>
    <t>Falls Fabricating is looking to expand. The metal fabricating company offers fabrication services in sheet metal, machined components and welded assemblies. Just two years after six employees purchased the business to ensure another company wouldn’t buy it and move jobs out of Little Falls, the new owners are hoping to add 40,000 square feet to their plant and add 20 new jobs. In order to do the expansion, Falls Fabricating would need to acquire adjacent parcels that currently owned by the Housing and Redevelopment Authority (HRA). Update: groundbreaking ceremony Sept. 2023
DEED AWARDS 2023-Q2: JCF $175K, MIF $190K</t>
  </si>
  <si>
    <t>http://www.cdc.morrison.mn.us/news/p/item/48592/falls-fabricating-ready-to-grow-in-little-falls</t>
  </si>
  <si>
    <t>Community Development Morrison County, DEED</t>
  </si>
  <si>
    <t>600 9th Ave NW</t>
  </si>
  <si>
    <t>JCF $175K , MIF $190K</t>
  </si>
  <si>
    <t xml:space="preserve">Graco </t>
  </si>
  <si>
    <t>Graco is looking to nearly double their operating space in Anoka, with an investment of $46.5 million dollars.  The current expansion will occur on the west side of their existing building, extending the current facility by 176,000 square feet. Graco plans to add over 50 new jobs to its current 240. Construction expected to start Sept 2023. Expect opening the facility in summer 2024. The hiring process will ramp up upon construction completion.
DEED Awards 2023-Q1: JCF ($737K), MIF ($250K)</t>
  </si>
  <si>
    <t>https://www.hometownsource.com/abc_newspapers/community/anoka/city-of-anoka-approves-funding-for-graco-expansion/article_7777559e-a803-11ed-b96f-ab7781873a59.html</t>
  </si>
  <si>
    <t>ABC Newspapers</t>
  </si>
  <si>
    <t>1201 Lund Blvd</t>
  </si>
  <si>
    <t>JCF ($737K), MIF ($250K)</t>
  </si>
  <si>
    <t>IWG (Regus)</t>
  </si>
  <si>
    <t xml:space="preserve">International flexible-office space company IWG PLC is opening new Minnesota locations in Lakeville and Rochester under its Regus brand. Regus workspaces give tenants a choice of a variety of workstations in their facilities, as well as at any of their facilities across the globe. 
IWG's new Regus workspace in Lakeville will be located in 8,100 square feet in a commercial building at 20721 Holyoke Ave. </t>
  </si>
  <si>
    <t>https://www.bizjournals.com/twincities/news/2023/02/14/iwg-opens-two-new-coworking-spaces-in-twin-cities.html</t>
  </si>
  <si>
    <t xml:space="preserve"> 20721 Holyoke Ave</t>
  </si>
  <si>
    <t>IWG</t>
  </si>
  <si>
    <t>Zug</t>
  </si>
  <si>
    <t>International flexible-office space company IWG PLC is opening new Minnesota locations in Lakeville and Rochester under its Regus brand. Regus workspaces give tenants a choice of a variety of workstations in their facilities, as well as at any of their facilities across the globe. 
Its Rochester location, which reaches 6,000 square feet, is located within 318 Commons at 318 First Ave. SW</t>
  </si>
  <si>
    <t> 318 First Ave. SW</t>
  </si>
  <si>
    <t>Pivot Strategies</t>
  </si>
  <si>
    <t>Pivot Strategies, a fast-growing internal-communications agency, provides change management and internal communications for large companies with at least 30,000 employees. Pivot Strategies anticipates $11 million in revenue in 2023. The company debuted on the Business Journal’s Fast 50 list at No. 10 last year, and it also landed on the 2022 Inc. 5000 fastest-growing companies list. The firm plans to increase its headcount from 40 to about 60 employees in 2023.</t>
  </si>
  <si>
    <t>Business Services</t>
  </si>
  <si>
    <t>https://www.bizjournals.com/twincities/news/2023/02/23/pivot-strategies-leadership-growth-future.html</t>
  </si>
  <si>
    <t>200 Southdale Center</t>
  </si>
  <si>
    <t>Donaldson</t>
  </si>
  <si>
    <t>Donaldson is a leading filtration products manufacturer. Construction Permit Description: Tenant Improvement. Existing Tenant. Existing Space. 3rd Floor Liquid Lab.</t>
  </si>
  <si>
    <t>City of Bloomington, Building Permit report</t>
  </si>
  <si>
    <t>9301 JAMES AVE S</t>
  </si>
  <si>
    <t>General Dynamics Mission Systems</t>
  </si>
  <si>
    <t>Construction Permit Description: Aerospace and defense manufacturer General Dynamics is doing a buildout for the CUI (controlled unclassified information) lab space. Construction work consists of demo, drywall work, doors, new floors &amp; ceilings, HVAC fan coil units &amp; mods, new lighting &amp; electrical work &amp; drops, along with low voltage cabling.</t>
  </si>
  <si>
    <t>8800 QUEEN AVE S, BLOOMINGTON, MN 55431</t>
  </si>
  <si>
    <t>Reston</t>
  </si>
  <si>
    <t>Ion Corp</t>
  </si>
  <si>
    <t>Eden Prairie aerospace contractor Ion Corp. to expand in north Minneapolis
Company plans to spend more than $30 million on the new factory on W. Broadway that will be 113,000 square feet.  Ion has 80 employees. The factory will create another 110 jobs.  Ground breaking expected in Oct. 2024, with completion in 2026.</t>
  </si>
  <si>
    <t>https://www.startribune.com/eden-prairie-aerospace-contractor-ion-corp-will-expand-in-north-minneapolis/600257924/</t>
  </si>
  <si>
    <t>229 W Broadway Ave</t>
  </si>
  <si>
    <t>Gray Tools</t>
  </si>
  <si>
    <t>Gray Tools is the only industrial-quality manufacturer of hand tools in Canada. Gray Tools is improving its U.S. distribution by adding warehouse space in Brooklyn Park, Minnesota, a suburb of Minneapolis, which will grow its e-commerce business. This strategic location will carry a large inventory to help expedite delivery to customers across the U.S. with faster routes and same-day shipping capabilities.</t>
  </si>
  <si>
    <t>https://www.inddist.com/company-expansion-consolidation/news/22766310/gray-tools-adds-minnesota-warehouse</t>
  </si>
  <si>
    <t>Yes</t>
  </si>
  <si>
    <t>Savillex</t>
  </si>
  <si>
    <t>Savillex manufactures custom rigid plastic containers and provides injection molding and other engineered services. Bloomington Construction permit: Tenant improvement - existing office space demolition. Exposing ceiling for new warehouse space. Adding new overhead door for back of house.</t>
  </si>
  <si>
    <t>10900 HAMPSHIRE AVE S, BLOOMINGTON, MN 55438</t>
  </si>
  <si>
    <t>Acme Tools</t>
  </si>
  <si>
    <t xml:space="preserve">Grand Forks, North Dakota-based tool retailer Acme Tools has opened a large distribution center in Burnsville to support its e-commerce division. The 115,888-square-foot distribution center is located in a newly constructed industrial warehouse development on Dupont Avenue off Interstate Highway 35W and Minnesota Highway 13. Acme said that the leased distribution center will increasing their online ordering capabilities and reduce transit times for online orders. </t>
  </si>
  <si>
    <t>https://www.bizjournals.com/twincities/news/2023/03/17/acme-tools-online-retailer-burnsville-distribution.html</t>
  </si>
  <si>
    <t>Dupont Avenue and Ladybird Lane.</t>
  </si>
  <si>
    <t>Grand Forks</t>
  </si>
  <si>
    <t>Gordini USA Inc</t>
  </si>
  <si>
    <t>Gordini a cold weather specialty apparel manufacturing company is interested in purchasing land to build a 120,000 sqft warehouse and distribution center. The land is 10.72 acres at corner of Lookout Drive and Timm Road will cost $696,800. The facility would be 90% warehouse with a small office area. Expect to hire up to 60 people within 5 years. Total project cost: $12.9 million for new construction and site improvements. Grand Opening: May 2024.
DEED Awards 2023-Q1: JCF ($800K), MIF ($210K). North Mankato TIF ($2.1M)</t>
  </si>
  <si>
    <t>https://www.northmankato.com/sites/default/files/meeting-packets/3_20_23_Port_Authority_Packet_1.pdf</t>
  </si>
  <si>
    <t>City of North Mankato</t>
  </si>
  <si>
    <t>JCF ($800K), MIF ($210K), TIF ($2.1M)</t>
  </si>
  <si>
    <t>Renault Group</t>
  </si>
  <si>
    <t>Boulogne-Billancourt</t>
  </si>
  <si>
    <t xml:space="preserve">Health care startup Gravie raised $179 million in equity investment from New York-based General Atlantic and existing investors. Growth is the focus for Gravie, which has increased its employee count – now at about 300 full-time employees – by 200% since the beginning of 2022. The company is planning to hire an additional 75 employees or so this year. Gravie helps small- and medium-sized provide health insurance for their employees through their flagship product called Comfort. </t>
  </si>
  <si>
    <t>https://www.bizjournals.com/twincities/inno/stories/fundings/2023/03/21/health-benefits-gravie-investment-millions.html?utm_source=st&amp;utm_medium=en&amp;utm_campaign=inno&amp;ana=e_n&amp;utm_content=mn</t>
  </si>
  <si>
    <t>10 NE 2nd St UNIT 300</t>
  </si>
  <si>
    <t>SCR Solutions Inc</t>
  </si>
  <si>
    <t>SCR Solutions is a food-safe custom equipment fabricator for food manufacttring and food services industries. Their products are Safe, Clean, and Reliable (SCR). SCR is looking to expand in Fergus Falls. The proposed project is construction of a new 10,000 square foot addition to handle expected growth. The total project cost is $1,084,000 and expects to create 8 jobs within the first 3 years.
DEED Awards 2023-Q1: JCF ($160K)</t>
  </si>
  <si>
    <t>https://fergusnow.com/2023/07/12/scr-solutions-broke-ground-expansion/</t>
  </si>
  <si>
    <t>DEED, Fergus Now</t>
  </si>
  <si>
    <t>1007 N. Tower Road</t>
  </si>
  <si>
    <t>Esko</t>
  </si>
  <si>
    <t>Essentia Health is proposing to build a new warehouse in Esko's industrial park.
The decision came from Essentia evaluating its supply chain and the lease on its current 50,000-square-foot building in West Duluth expiring in 2024. The new warehouse is slated to be 163,000 square feet. Groundbreaking is expected
for summer 2023, with an expected occupancy date in late 2024. Around 20-25 people will be employed at the warehouse, including staff from the West Duluth Building</t>
  </si>
  <si>
    <t>https://www.pinejournal.com/news/local/essentia-health-to-bring-new-warehouse-to-esko</t>
  </si>
  <si>
    <t>CFMoto</t>
  </si>
  <si>
    <t>CFMoto, a high-end motorcycle and ATV manufacturer, plans to significantly expand in Plymouth, its U.S. headquarters. The company, originally founded in China, will relocate from a leased space at Plymouth Ponds Business Park to northeast Plymouth where it is currently constructing a new 100,000-square-foot, facility that it will own. CFMoto plans to increase its workforce in Plymouth from 40 to 84 employees within 3 years. Total poject cost: $25.5 million.
DEED MIF award: $340,000.</t>
  </si>
  <si>
    <t>https://ccxmedia.org/news/plymouths-cfmoto-powersports-plans-to-double-workforce/</t>
  </si>
  <si>
    <t>Schmidt Lake Road and Highway 169.</t>
  </si>
  <si>
    <t>Hangzhou</t>
  </si>
  <si>
    <t>Genz-Ryan</t>
  </si>
  <si>
    <t xml:space="preserve"> Burnsville-based Genz-Ryan, an HVAC and plumbing company, launched a free, 12-week program for students to train in HVAC services. Genz-Ryan underwent a build-out,  investing $500,000 in a 15,000-square-foot space in its headquarters to house the Jack Ryan Academy. The new facility includes meeting room space, classroom space and lab space. With a total of eight graduates in the current graduating cohort, the company hopes to see about 40 to 50 students in the next cohort.</t>
  </si>
  <si>
    <t>https://www.bizjournals.com/twincities/news/2023/03/31/hvac-genz-ryan-training-program-worker-shortage.html</t>
  </si>
  <si>
    <t>2200 Hwy 13 W</t>
  </si>
  <si>
    <t>2023-Q2</t>
  </si>
  <si>
    <t>Cummins</t>
  </si>
  <si>
    <t>Over half of all medium- and heavy-duty trucks on the road in the U.S. today use Cummins engines.  The Cummins' Fridley facility will soon manufacture electrolyzers, which are a critical piece of the green hydrogen economy and brings the supply chain for zero-emissions vehicles to the U.S. This $10 million investment will support 100 new jobs.
U.S. DOE announced that Cummins' Fridley plant will receive $10.6 million in tax credits (due to IRA) for large-scale proton-exchange membrane electrolyzer manufacturing and testing.</t>
  </si>
  <si>
    <t>https://investor.cummins.com/news/detail/605/cummins-announces-investments-of-more-than-1-billion</t>
  </si>
  <si>
    <t>1400 73rd Ave NE</t>
  </si>
  <si>
    <t>Minuteman Press</t>
  </si>
  <si>
    <t>In January 2023, Frank Brown moved his company, Minuteman Press Uptown to North Minneapolis. The move came with an expansion, from a 2,400-square-foot warehouse with four employees, to a 30,000-square-foot building that Brown bought last year. Half of the building will be used for the printing business, and the remainder lease. The new 15,000 sqft space includes 11,000 square feet of space filled with digital printing equipment used to fulfill commercial orders. They currently employ 12 people.</t>
  </si>
  <si>
    <t>https://www.bizjournals.com/twincities/news/2023/04/04/minuteman-press-uptown-frank-brown.html</t>
  </si>
  <si>
    <t>4024 N. Washington Ave</t>
  </si>
  <si>
    <t>Optiscan Imaging</t>
  </si>
  <si>
    <t>Melbourne, Australia-based digital imaging company Optiscan Imaging will open its first U.S. operation in Roseville, Minnesota. Optiscan is a manufacturer of “endomicroscopic” digital imaging technology, which enables physicians to scan patients at the cellular level in real time. Optiscan's prior meeting with Medical Alley motivated the new office. Optiscan plans to hire just one full-time employee in Minnesota for now, but expects to add more as the business grows.</t>
  </si>
  <si>
    <t>https://tcbmag.com/australian-med-tech-firm-to-open-minnesota-office/</t>
  </si>
  <si>
    <t xml:space="preserve">Twin Cities Business </t>
  </si>
  <si>
    <t>2345 Rice Street Suite 230</t>
  </si>
  <si>
    <t>Melbourne</t>
  </si>
  <si>
    <t>Toro is a leading worldwide provider of innovative solutions for the outdoor environment including turf and landscape maintenance. Building permit description: Remodel and general updating of a commerical office space.</t>
  </si>
  <si>
    <t>Thermo King is a global leader in transport refrigeration and heating for trailers, trucks, buses, rail cars and shipboard containers. Building permit description:  Reconfigure existing office space to new A2L refrigerant storage room. Provide Mechanical and electrical infrastructure for new calorimeter. Patch and repair existing 2HR wall as needed to meet rating. Install of new AHU and VRF system.</t>
  </si>
  <si>
    <t>Trane Technologies</t>
  </si>
  <si>
    <t>Swords</t>
  </si>
  <si>
    <t>ESSILOR LABORATORIES OF AMERICA INC</t>
  </si>
  <si>
    <t>Essilor Laboratories is an optical lenses manufacturer. Building permit for Interior Remodel</t>
  </si>
  <si>
    <t>https://www.ci.stcloud.mn.us/DocumentCenter/View/24638/April-2023</t>
  </si>
  <si>
    <t>City of St Cloud</t>
  </si>
  <si>
    <t>6650 SAUKVIEW DR</t>
  </si>
  <si>
    <t>Charenton-le-Pont</t>
  </si>
  <si>
    <t>Emcor Enclosures</t>
  </si>
  <si>
    <t>Running two production shifts, Emcor Enclosures makes and sells a catalog of 8,000 types of metal cabinets and boxes as well as custom-made products for its clients. About 70% of our business is for the defense industry.  Since 2021, Emcor has grown from employing 50 workers to 75, and expects to grow to 100 employees by the start of 2024. The company is currently looking for more welders, and is adding about 17,000 square feet this summer, and by fall will have an almost 100,000-square-foot facility.</t>
  </si>
  <si>
    <t>https://www.postbulletin.com/business/rochester-manufacturer-emcor-is-growing-under-its-new-owner</t>
  </si>
  <si>
    <t>Post Bulletin</t>
  </si>
  <si>
    <t>2900 37th St NW</t>
  </si>
  <si>
    <t>ForwardEdge ASIC (Lockheed Martin)</t>
  </si>
  <si>
    <t>Defense contractor Lockheed Martin plans a microelectronics subsidiary that would bring more than 100 well-paying jobs. The subsidiary ForwardEdge ASIC has signed a lease up to 70,000 sqft of lab and office space in Saint Paul as part of a $60 million investment. ForwardEdge ASIC functions as an ASIC “design center of excellence". ForwardEdge has begun recruiting new employees and will also connect with local universities. Lockheed Martin considered multiple U.S. sites for this project but ultimately chose to expand in Saint Paul. 
DEED AWARDS JCF $500K, MIF $800K</t>
  </si>
  <si>
    <t>https://finance-commerce.com/2023/04/lockheed-martin-entity-looks-to-expand-in-twin-cities/</t>
  </si>
  <si>
    <t>2340 Energy Park Drive</t>
  </si>
  <si>
    <t>MIF $800K, JCF $500K</t>
  </si>
  <si>
    <t>Action Target Distribution</t>
  </si>
  <si>
    <t>Blaine35, a three-building business park with a combined 317,400 square feet of space, is fully leased. The business park, developed by Artis REIT of Winnipeg, is at 8611, 8700, and 8650 West 35W Service Drive NE in Blaine. CBRE said it recently landed two new tenants — Action Target and Aspect Automation — which bring the park to 100% occupancy.
Beginning in May, shooting range equipment manufacturer Action Target plans to occupy 31,120 square feet in Building A - likely for distribution.</t>
  </si>
  <si>
    <t>https://finance-commerce.com/2023/04/blaine-business-park-fully-leased/</t>
  </si>
  <si>
    <t>8611 W 35W Service Dr NE Suite 150</t>
  </si>
  <si>
    <t>Provo</t>
  </si>
  <si>
    <t>Ascential Technologies (formerly Aspect Automation)</t>
  </si>
  <si>
    <t>The Blaine35 business park recently landed two new tenants — Action Target and Aspect Automation.  NOV 2023: Aspect Automation is now part of Ascential Technologies - based in Grand Rapids, MI. Ascential held a ribbon-cutting ceremony for its new state-of-the-art facility that will employ 150 people. Ascential's Blaine facility will specialize in developing custom manufacturing machinery  and solutions designed specifically for medical and life science companies.</t>
  </si>
  <si>
    <t>8700 W 35W Service Dr. NE</t>
  </si>
  <si>
    <t>Xcel Energy</t>
  </si>
  <si>
    <t>Xcel Energy Inc. plans to buy a 20-acre parcel in The Heights, the former Hillcrest Golf Course in St. Paul. The site will be the home for a new East Metro Service Center facility to replace the 325-person Rice Street Service Center in St. Paul. The new center will be twice the size of the current one; continue to support Xcel's natural gas and distribution operations; and 1 include a training center and space for electric-vehicle charging stations. 
Construction will begin n spring 2024 and be completed in late 2025.</t>
  </si>
  <si>
    <t>https://www.bizjournals.com/twincities/news/2023/04/21/xcel-heights-hillcrest-service-center.html</t>
  </si>
  <si>
    <t>2200 Larpenteur Ave E</t>
  </si>
  <si>
    <t>Plunkett's Pest Control</t>
  </si>
  <si>
    <t>Plunkett’s Pest Control recently completed an expansion project that doubled the site of their warehouse to 28,000 square feet.  The expansion gives the company and its wildlife division “more room to service their ever-growing footprint in the Midwest.” The project was a “partnership” between Plunkett’s, the city of Fridley, and others.. 
Founded in 1915 in Minneapolis, the company delivers pest and wildlife control services to 70,000 residential and commercial clients in nearly 20 states.</t>
  </si>
  <si>
    <t>https://finance-commerce.com/2023/04/plunketts-expands-fridley-warehouse/</t>
  </si>
  <si>
    <t>5150 Industrial Blvd NE</t>
  </si>
  <si>
    <t>Polar Semiconductor is expanding in Bloomington (Hennepin County). The company makes wafer products at its semiconductor fabrication facility. The project would expand and make improvements to its cleanroom manufacturing space, add automation equipment and modernize the facility. The total project cost is $525 million. It will create 160 new jobs.
DEED AWARDS MIF $4M, JCF $800K
Updated data 8/2024 since initial announcement: $525 M total cost, with $123M from US CHIPS and $75 M from MN Forward Fund. 160 new jobs</t>
  </si>
  <si>
    <t>https://mn.gov/deed/about/meetings-events/public-meetings.jsp?trumbaEmbed=view%3Devent%26eventid%3D166456276</t>
  </si>
  <si>
    <t>2800 E Old Shakopee Rd,</t>
  </si>
  <si>
    <t>JCF $800K, MIF $4M, CHIPS $120M, Forward Fund $75M, MJSP $365,000</t>
  </si>
  <si>
    <t>Sanken Electric</t>
  </si>
  <si>
    <t>Niiza</t>
  </si>
  <si>
    <t>Minneapolis Glass Co</t>
  </si>
  <si>
    <t>Minneapolis Glass Co., a woman-owned glass and glazing fabrication business, broke ground this week on its future corporate headquarters at 610 Junction – West in Brooklyn Park. Established in 1937, Minneapolis Glass provides manufacturing, installation and distribution services. The new facility includes space for glass and metal fabrication, distribution, offices and a consumer showroom. Broke Ground May 2023. Expected to open in 2024. Consolidates operations and expands footprint by 40,000 sqft, to 115,000 sqft</t>
  </si>
  <si>
    <t>https://minneapolisglass.com/minneapolis-glass-builds-new-state-of-the-art-headquarters/</t>
  </si>
  <si>
    <t>9300 Decatur Dr. N.</t>
  </si>
  <si>
    <t>Rosemount-based aluminum recycler Spectro Alloys Corp. is planning a $76.8 million expansion with a new 90,000-square-foot building on its campus along Highway 55. The project will bring 70 highly paid jobs within 3 years to Rosemount.
Spectro expects to break ground in 2024 on the 42-acre site and have the building operational mid-2025. The project would provide the capabilities needed to recycle used beverage containers, extrusions, and other scraps. The investment includes $24.3 million in new construction. 9/2024: UAE-based Emirates Global Aluminum (EGA) acquires an 80% stake in Spectro Alloys.
DEED AWARDS MIF $400K, JCF $750K</t>
  </si>
  <si>
    <t>https://www.bizjournals.com/twincities/news/2023/05/02/spectro-alloys-rosemount-new-building.html</t>
  </si>
  <si>
    <t>JCF $750K, MIF $400K</t>
  </si>
  <si>
    <t>Emirates Global Aluminum</t>
  </si>
  <si>
    <t>UAE</t>
  </si>
  <si>
    <t>Northstar Lime, LLC</t>
  </si>
  <si>
    <t>May 2023: North Star Lime purchased former Simplot building and plans to convert lime from American Crystal’s Crookston factory into pellets for agricultural application. Already invested $4M. Looking to invest another $10M, where $5 million from a USDA grant, $3.5 million from local lenders. Seeking another $1.5 million. Just received a permit from MPCA. Now hiring a plant manager and 20-plus employees to the facility..
11/2023: Project investment $9.8 million. Jobs created 21. DEED MIF Award: $430K</t>
  </si>
  <si>
    <t>https://kroxam.com/crookston-city-council-gets-update-on-north-star-lime/</t>
  </si>
  <si>
    <t>KROX AM</t>
  </si>
  <si>
    <t>2100 S Main St</t>
  </si>
  <si>
    <t>QTS Medical Device Outsourcing</t>
  </si>
  <si>
    <t>QTS Medical Device Outsourcing provides assembly, kitting, packaging and sterilization services; and serves as an outsource platform for the medical device and pharmaceutical industries.  Prime General Contractors was hired by QTS for a multi-phase design-build interior remodel of 50,000 SF of space in Bloomington, Minnesota. To support current and future expansion, additional electrical power is being added. Work began in April 2023 and expected to be completed in Dec. 2023.</t>
  </si>
  <si>
    <t>https://www.primegc.com/post/construction-started-qts-medical-device-outsourcing</t>
  </si>
  <si>
    <t>Prime GC, City of Bloomington</t>
  </si>
  <si>
    <t>10525 HAMPSHIRE AVE S</t>
  </si>
  <si>
    <t>F2F Inc</t>
  </si>
  <si>
    <t>F2F, Inc. plans to  develop a mushroom production facility in Faribault that will be the largest farm of its kind in the midwest. The projected project will cost an estimated $7.2 million, take place in a leased 60,000 sqft space and will employ roughly 100 people when fully operational. 
DEED Award JCF $175K</t>
  </si>
  <si>
    <t>https://www.southernminn.com/faribault_daily_news/news/pending-state-help-mushroom-grower-plans-expansion-to-faribault/article_2e63e94c-ce70-11ed-a8a6-07da9d748455.html</t>
  </si>
  <si>
    <t>Faribault Daily News, DEED, City of Faribault</t>
  </si>
  <si>
    <t>Elemet Group Inc</t>
  </si>
  <si>
    <t>Elemet Manufacturing specializes in CNC machining, welding, and precision waterjet cutting and custom solutions. Elemet Group Inc. (NAICS 3329) is expanding in Princeton (Mille Lacs County) and is planning to build a new facility. The total project cost is nearly $26.5 million with $12.6 million for new  construction. Other costs include machinery and equipment. The project will retain 120 jobs and create 45 jobs within the first 3 years. Broke ground in June 2023. Facility was completed and opened in late February 2024.
DEED Awards: MIF $1 million, JCF $800K, BDPI $750K (to City of Princeton)</t>
  </si>
  <si>
    <t>https://mn.gov/deed/about/meetings-events/public-meetings.jsp?trumbaEmbed=view%3Devent%26eventid%3D166790285</t>
  </si>
  <si>
    <t>101 21st Ave S</t>
  </si>
  <si>
    <t>JCF $800K, MIF $1M, BDPI $750K</t>
  </si>
  <si>
    <t>VitaTek Medical (formerly Vita Group)</t>
  </si>
  <si>
    <t xml:space="preserve">Medical device incubator Vita Group will relocate to an existing 65,000 sqft building at 390 Commerce Dr that it bought for $8 million - across from its current location.   The company has 100 employees. The new building will be renovated, expanded to 140,000 square feet, and become Vita Group’s new headquarters. It includes cleanrooms, manufacturing, and offices. Construction is underway in Woodbury and expected to be completed in April 2024. Vita Group plans to hire more people. 
NOV 2023 update: I-Tek Medical and Vita Group are merging to create VitaTek Medical.  </t>
  </si>
  <si>
    <t>HQ, RD</t>
  </si>
  <si>
    <t>https://www.bizjournals.com/twincities/news/2023/05/17/medical-device-incubator-vita-group.html</t>
  </si>
  <si>
    <t>390 Commerce Dr</t>
  </si>
  <si>
    <t>University of Minnesota</t>
  </si>
  <si>
    <t xml:space="preserve">The University of Minnesota plans to invest in a new $68 million to $73 million data center on the East Bank campus. U of M officials are accepting design proposals through 6/22/23 for a 33,000-square-foot “Advanced Operations Center". The new two-story building will consolidate operations of two current centers. The U of M hopes to break ground by October 2024 and complete construction in November 2025. Prior to construction, there’s a long lead time for procurement of equipment, such as switch gears and generators. </t>
  </si>
  <si>
    <t>Education</t>
  </si>
  <si>
    <t>https://finance-commerce.com/2023/06/u-of-m-seeks-bids-for-68m-data-center/</t>
  </si>
  <si>
    <t>2001 6th Street SE</t>
  </si>
  <si>
    <t>Niagara Bottling</t>
  </si>
  <si>
    <t>Elko New Market</t>
  </si>
  <si>
    <t>Niagara Bottling is a California-based beverage manufacturer that is proposing to construct a 425,000 square foot facility in Elko New Market. Projected investment: $258 million, New jobs: 58. Average wage: $18/hr.
The fate of a new water bottling plant now rests with the MN Department of Natural Resources, which will review the project for its impact on the aquifer beneath the surface. Niagara Bottling plans to purchase up to 310 million gallons of water per year from Elko New Market, a plan that has sparked controversy.
DEED Awards: MIF $405K, JCF $800K</t>
  </si>
  <si>
    <t>https://www.ci.enm.mn.us/vertical/sites/%7B97941C7E-666C-4328-9370-1A15F984EEE3%7D/uploads/MIF_and_SAC-WAC_Summary_11.18.22_V1.pdf 
https://www.ci.enm.mn.us/index.asp?SEC=2B21756D-F7C7-49D1-8F9E-4F7FFA982A8A&amp;Type=B_BASIC</t>
  </si>
  <si>
    <t>City of Elko New Market</t>
  </si>
  <si>
    <t>MIF (405K), JCF (800K), City of Elko New Market ($3M)</t>
  </si>
  <si>
    <t>Diamond Bar</t>
  </si>
  <si>
    <t xml:space="preserve">Switzerland-based Bühler, a global specialist and technology partner in food and grain industries will expand its optical sorting testing and applications capabilities with a new facility in Plymouth, MN.   All application centers also will act as training centers for the company’s various sorting solutions. The optical sorting test and train for regionally supplied grains, rice, seeds, pulses, and coffee. </t>
  </si>
  <si>
    <t>https://www.world-grain.com/articles/18640-buhler-to-expand-optical-sorting-centers-in-north-america</t>
  </si>
  <si>
    <t>World Grain</t>
  </si>
  <si>
    <t>Uzwil</t>
  </si>
  <si>
    <t>United States Gypsum Company</t>
  </si>
  <si>
    <t>U.S. Gypsum, which manufactures ceiling tiles, is celebrating its 100th anniversary this summer.   The company is seeking to replace a 65-year-old dryer at its plant in Cloquet a cost of $38.5 million. The project could begin in June 2024. Update October 2023: Jobs retained: 315. DEED is supporting this project with a MIF award of $300K.</t>
  </si>
  <si>
    <t>Non-Metallic Products</t>
  </si>
  <si>
    <t>https://www.pinejournal.com/news/local/usg-to-invest-38-5m-in-cloquet-plant</t>
  </si>
  <si>
    <t>Pine Journal</t>
  </si>
  <si>
    <t>35 Arch Street</t>
  </si>
  <si>
    <t>Daikin Applied Americas, Inc - Owatonna</t>
  </si>
  <si>
    <t>Daikin Applied is proposing to renovate and upgrade interior office areas at their facility on Park Drive. The idea is to bring the office area up to current design standards, provide necessary upgrades to become ADA compliant, make security improvements, increase the number of workstations, asbestos abatement and an upgrade to the HVAC system. Daikin is estimating the costs of this project to be approximately $2 million and the project will result in 20 new jobs. 
DEED JCF Award: $175K</t>
  </si>
  <si>
    <t>https://civicclerk.blob.core.windows.net/stream/OWATONNAMN/8a185db5-c8ca-47a2-aaa1-314b6d2bd590.pdf?sv=2022-11-02&amp;st=2023-07-14T17%3A58%3A50Z&amp;se=2024-07-14T18%3A03%3A50Z&amp;sr=b&amp;sp=r&amp;sig=%2BzlVHJ0p1EsmAU%2FxE%2FVgHgpvqrI0bK70XKP6ljtVaTI%3D</t>
  </si>
  <si>
    <t>City of Owatonna, DEED</t>
  </si>
  <si>
    <t>3300 Park Dr</t>
  </si>
  <si>
    <t>Cambrex Corportation</t>
  </si>
  <si>
    <t>Cambrex is a leading global contract development and manufacturing organization that delivers drug substance, drug product, and analytical services across the entire drug life cycle, as well as active pharmaceutical ingredients. Building permit description: Cambrex laboratory and office renovations</t>
  </si>
  <si>
    <t>9555 JAMES AVE S</t>
  </si>
  <si>
    <t>East Rutherford</t>
  </si>
  <si>
    <t>IDeaS, a SAS company, is the world's leading provider of revenue management software and services. With over 30 years of expertise, IDeaS delivers revenue science to more than 22,000 clients in 152 countries. Building permit description:  12th Floor Phase 3 remodel</t>
  </si>
  <si>
    <t>Renegade Truck Equipment</t>
  </si>
  <si>
    <t>Richmond</t>
  </si>
  <si>
    <t xml:space="preserve">Renegade Truck Equipment is a Richmond, Minnesota-based manufacturing company specializing in the sale of truck equipment, truck and trailer accessories, and new builds of truck bodies including gravel, contractor, flatbed, and utility/service. Renegade is planning a 20,000 square foot new building to their facility, which will increase space for manufacturing as well as improve efficiencies in the manufacturing process.  Extimated investment: $3.8 million. New jobs: 15. Construction largely completed by Dec. 2023.
DEED Awards MIF $400K
</t>
  </si>
  <si>
    <t>https://knsiradio.com/2023/08/07/central-minnesota-companies-get-help-to-expand/</t>
  </si>
  <si>
    <t>KNSI Radio, DEED</t>
  </si>
  <si>
    <t>415 Jay Ave SE,</t>
  </si>
  <si>
    <t>Natural American Foods Inc dba Sweet Harvest Foods</t>
  </si>
  <si>
    <t>Honey is the main product of Sweet Harvest Foods, based in Cannon Falls. The company plans to plans to lease a new 366,000-square-foot manufacturing, warehouse and corporate office facility in Lakeville’s industrial park. The project would retain 21 jobs and create 20 new jobs,  The company’s current Lakeville location is a 151,200-square-foot warehouse and distribution center. The company's customers include foodservice, manufacturing and retail customers. The company built a new 150,000 square-foot warehouse facility in Lakeville in 2020. Lakeville issued permit for buildout in Sept 2023.
DEED AWARDS JCF $155K, MIF $140K</t>
  </si>
  <si>
    <t>DW, MF, OF</t>
  </si>
  <si>
    <t>https://www.hometownsource.com/sun_thisweek/community/lakeville/sweet-harvest-looks-to-expand-in-lakeville/article_40fafc9c-1111-11ee-94f4-275d9a354436.html</t>
  </si>
  <si>
    <t>Sun This Week, DEED</t>
  </si>
  <si>
    <t>21601 Galway Lane</t>
  </si>
  <si>
    <t>JCF $155K, MIF $140K</t>
  </si>
  <si>
    <t>Bongards Creameries</t>
  </si>
  <si>
    <t>Perham</t>
  </si>
  <si>
    <t xml:space="preserve">Chanhassen-based dairy cooperative Bongards Creameries will invest $125 million in its dairy plant in Perham through expanding intake bays, cheese packaging equipment, whey warehousing and its wastewater treatment. The plant will be able to expand its milk intake by a full third in the next two years as a reesult. Bongards is a nationally recognized cheese and whey producer. The expansion is expected to begin in July 2023. Anticipated completion: June 2025 </t>
  </si>
  <si>
    <t>https://www.startribune.com/bongards-creameries-plans-125-million-expansion-for-its-perham-dairy-plant-minnesota-farmers-milk/600285423/</t>
  </si>
  <si>
    <t>110 3rd Ave NE</t>
  </si>
  <si>
    <t>Yanmar Compact Equipment North America YCENA</t>
  </si>
  <si>
    <t>Yanmar Compact Equipment North America recently broke ground on a 32,000-square-foot expansion to its Grand Rapids facility. The expansion will greatly increase manufacturing capacity and allow for Yanmar compact track loaders to be manufactured alongside ASV compact track loaders. Vompany executives project adding 200 new jobs over the next five years.  The new section will house a paint system that increases paint capacity by three times, and will boost parts manufacturing capacity by two times. The company expects project completion in Spring 2024.</t>
  </si>
  <si>
    <t>http://www.businessnorth.com/daily_briefing/yanmar-breaks-ground-on-expansion/article_625862e0-152f-11ee-8888-b333151b6945.html?utm_source=businessnorth.com&amp;utm_campaign=%2Fnewsletters%2Fwednesday-headlines%2F%3Fscrape%3Dtrue%26-dc%3D1687980623&amp;utm_medium=email&amp;utm_content=headline</t>
  </si>
  <si>
    <t>840 Lily Ln</t>
  </si>
  <si>
    <t>Yanmar CE</t>
  </si>
  <si>
    <t>Great Northern Ingredients</t>
  </si>
  <si>
    <t>Fosston</t>
  </si>
  <si>
    <t xml:space="preserve">Fosston was awarded $960,460 from DEED’s Greater Minnesota Business Development Public Infrastructure Grant Program (BDPI) to assist with constructing streets and utilities to expand their industrial park.  Great Northern Ingredients, a food manufacturing business, has committed to the park and plans on investing $20 million in the property and initially creating 20 jobs. 
</t>
  </si>
  <si>
    <t>2023-Q3</t>
  </si>
  <si>
    <t>Piedmont Plastics</t>
  </si>
  <si>
    <t xml:space="preserve">Piedmont Plastics®, a leading wholesale distributor of plastic sheet, rod, tube, and film, is openedits newest branch location in Minneapolis - which represented its 54th branch in North America and first location in Minnesota. The new Minneapolis branch will function as a fully equipped distribution facility, providing an extensive inventory, cut-to-size services, routing capabilities, and local delivery options; and provides support to customers across Minnesota and the Midwest. </t>
  </si>
  <si>
    <t>https://www.piedmontplastics.com/blog/new-piedmont-plastics-minneapolis-branch</t>
  </si>
  <si>
    <t>9702 Ulysses St NE</t>
  </si>
  <si>
    <t>MAS HVAC</t>
  </si>
  <si>
    <t>MAS HVAC, a Circle Pines, Minnesota-based manufacturer that provides custom energy recovery, air movement and heat exchange solutions for large commercial air-conditioning equipment, has signed a 150,000-sqft lease in Maple Grove's Arbor Lakes Business Park. It will move to its newly constructed space in January 2024. The new location will house the company’s new headquarters, manufacturing and logistics operations. MAS HVAC will relocate from Circle Pines, where it had about 70,000 square feet.</t>
  </si>
  <si>
    <t>HQ, MF, OF</t>
  </si>
  <si>
    <t>https://www.bizjournals.com/twincities/news/2023/07/20/local-hvac-company-signs-arbor-lakes-business-park.html</t>
  </si>
  <si>
    <t>10901 Elm Creek Blvd N</t>
  </si>
  <si>
    <t xml:space="preserve">Boston Scientific plans to build a $170 million facility in Maple Grove, which will  create 177 new jobs paying $65/hr on average. The proposed expansion calls for 170,000 square feet of new R&amp;D labs, office support areas and training spaces in three phases (84,000 Phase 1; 52,000 phase 2; 32,000 Phase 3). The proposed facility will accommodate the company’s interventional cardiology, peripheral interventions, watchman, and urology divisions. Construction timeline: broke ground in Nov. 2023. Building opened Oct. 2025.
DEED Awards: JCF $1.75M, MIF $4.25M. Also TIF $6.4M (City of Maple Grove)
Update 12/2025: Boston Scientific purchases the building from Ryan Co. for $188.8 million. </t>
  </si>
  <si>
    <t>https://finance-commerce.com/2023/07/boston-scientific-plans-170m-expansion-in-maple-grove/</t>
  </si>
  <si>
    <t>1 Boston Scientific Way</t>
  </si>
  <si>
    <t>JCF$1.75M, MIF $4.25M,  TIF $4.5M (City of Maple Grove)</t>
  </si>
  <si>
    <t>1 Boston Scientific Way is the Arbor Lakes Campus</t>
  </si>
  <si>
    <t>Takeda's biopharmaceutical manufacturing site in Brooklyn Park, Minnesota, U.S., announced its recently completion of a $45 million dollar investment to increase production capacity. Through cross-functional collaboration, Takeda can now help more patients impacted by ulcerative colitis and Crohn's disease.</t>
  </si>
  <si>
    <t>https://www.linkedin.com/posts/takeda-pharmaceuticals_biopharmaceutical-activity-7090345875444506624-iZPK</t>
  </si>
  <si>
    <t>Takeda</t>
  </si>
  <si>
    <t>Donaldson is a leading filtration products manufacturer. City of Bloomington Construction permit issued: office remodel</t>
  </si>
  <si>
    <t>L&amp;M Fleet Center</t>
  </si>
  <si>
    <t>L&amp;M Fleet Supply plans to build a new $55.4 million distribution center in Grand Rapids. The new 210,000 sq-ft center will replace current distribution center in LaPrairie. New state-of-the-art equipment will include computer-aided forklifts, conveyor systems, a sortation system, and a new warehouse management system. Expected to create 35 to 50 new jobs and retain 83 jobs. Seeking financial assistance from IRRRB ($2.5 million loan). The city of Grand Rapids is assisting with tax increment financing ($2.1 million) and tax abatement ($2 million). Update May 2024: Construction is underway. Expect completion by Dec. 2024, opening in Feb/Mar 2025.
DEED JCF Award $790K. MIF $2.0M</t>
  </si>
  <si>
    <t>http://www.businessnorth.com/daily_briefing/l-m-fleet-supply-to-build-new-distribution-center/article_8e2582e0-3311-11ee-be35-e3ce5651ac78.html</t>
  </si>
  <si>
    <t>Business North, DEED</t>
  </si>
  <si>
    <t>1400 S Pokegama Ave,</t>
  </si>
  <si>
    <t>JCF $790K, MIF $2.0M. Grand Rapids: TIF ($2.1M), Tax Abatement ($2.0M); Itasca County: $1.4M tax abatement IRRB ($2.5M)</t>
  </si>
  <si>
    <t xml:space="preserve"> </t>
  </si>
  <si>
    <t>Cast Corporation</t>
  </si>
  <si>
    <t>IRRR board meeting on Aug 9 approved a $600,000 participation loan to Cast Corporation in Hibbing to support a $1.2 million foundry expansion, loading dock, cold storage, and remodeling project. Includes a 5,400 square foot expansion to the foundry.</t>
  </si>
  <si>
    <t>Elucent Medical</t>
  </si>
  <si>
    <t>Elucent Medical, a medical equipment manufacturer, hosted a grand opening of its new space that includes expanded manufacturing space and a customer training center geared for physician-led clinical education. The leased space is 27,000 square feet, more than three times its previous space, will also serve as its new HQ in Eden Prairie. Expects to add at least 30 jobs over the next couple years across R&amp;D, quality, operations and manufacturing. Elucent Medical offers surgical navigation solutions.</t>
  </si>
  <si>
    <t>HQ, MF, Other</t>
  </si>
  <si>
    <t>https://www.bizjournals.com/twincities/news/2023/08/07/elucent-medical-expands-to-eden-prairie.html</t>
  </si>
  <si>
    <t>6509 Flying Cloud Drive in Eden Prairie.</t>
  </si>
  <si>
    <t>nVent</t>
  </si>
  <si>
    <t>nVent will fully use a development currently under construction for its distribution facility in Dayton called the French Lake Distribution Center. It signed a 10-year lease for the 248,000-square-foot space.
NVent, a high-performance electrical company offering electrical connection and protection solutions, plans to move into the new space before the end of the year. nVent will relocate its distribution arm of its enclosures and air-conditioning solutions from its Anoka location. Expect to move into new space by end of 2023. Facility opened: April 2024.</t>
  </si>
  <si>
    <t>https://www.bizjournals.com/twincities/news/2023/08/09/capital-partners-nvent-dayton-spec-industrial.html</t>
  </si>
  <si>
    <t>12655 W French Lake Rd</t>
  </si>
  <si>
    <t>Bemidji Aviation Services</t>
  </si>
  <si>
    <t xml:space="preserve">The city of Bemidji is requesting $1.5 million from BDPI to assist with constructing streets and utilities to develop 5 larger hangars at the Bemidji Regional Airport. One of the hangars will allow Bemidji Aviation to expand in Bemidji. Bemidji Aviation will invest $8.5 million, retain 122 jobs, and add 135 jobs.  All 5 of the hangars with be used for an eligible BDPI purpose. The total cost of the infrastructure portion of the project is $3.3 million. </t>
  </si>
  <si>
    <t>DW (Hangars)</t>
  </si>
  <si>
    <t>3824 Moberg Dr NW</t>
  </si>
  <si>
    <t xml:space="preserve">BDPI </t>
  </si>
  <si>
    <t>NetSPI</t>
  </si>
  <si>
    <t>NetSPI is planning to relocate to a new Minneapolis headquarters in the North Loop neighborhood. NetSPI into 60,000 square feet of the Steelman Exchange building, at . NetSPI is moving due to increasing employee headcount and needing more collaborative workspace. NetSPI plans to move into the new space in January with a 94-month sublease. The company has added more than 150 employees just this year, many of whom are based in the Twin Cities. In all, the company has about 200 employees locally, and 550 globally.</t>
  </si>
  <si>
    <t>https://www.bizjournals.com/twincities/news/2023/08/29/netspi-north-loop-hq-sublease-new.html</t>
  </si>
  <si>
    <t>241 Fifth Ave. N</t>
  </si>
  <si>
    <t>Nexstar</t>
  </si>
  <si>
    <t xml:space="preserve">Nexstar, a firm that offers training on HVAC systems, plumbing and electrical work, signed a 13,491-square-foot sublease at 7760 France Ave. S. The sublease space will be its new headquarters with all operations, and will provide its over 60 Minnesota-based employees with administrative and collaborative work areas. Nexstar hopes to have the space renovated within the next 30-60 days for its employees. Nexstar is relocating from Saint Paul. </t>
  </si>
  <si>
    <t>https://www.bizjournals.com/twincities/news/2023/08/30/jostens-sublease-bloomington-headquarters-tenant.html</t>
  </si>
  <si>
    <t>7760 France Ave. S</t>
  </si>
  <si>
    <t>Kannegiesser ETECH</t>
  </si>
  <si>
    <t>Kannegiesser ETECH develops and manufactures technology and equipment for the industrial laundry industry. Its German parent company is Herbert Kannegiesser GmbH.  ETECH is investing in more space, new technology and equipment, and additional staff.  ETECH expects to invest $5 million in its expansion, which will create 36 new jobs over the next three years. (It currently has 127 employees in the state.)
DEED JCF Award: $175K</t>
  </si>
  <si>
    <t>https://lims.minneapolismn.gov/RCA/10563</t>
  </si>
  <si>
    <t>City of Minneapolis</t>
  </si>
  <si>
    <t>2090 Elm St SE</t>
  </si>
  <si>
    <t>Herbert Kannegiesser GmbH</t>
  </si>
  <si>
    <t>Vlotho</t>
  </si>
  <si>
    <t>Computype</t>
  </si>
  <si>
    <t>Computype has been innovating automation and barcode labeling solutions for nearly 50 years. Prime General Contractors remodeled 90,000 square feet of production space in St. Paul, Minnesota - all while production continued as usual. Production, bathroom and office spaces were remodeled. Mechanical and electrical systems were reworked to raise ceilings. Warehouse was relocated and brought up to code. Construction was completed in Sept 2023.</t>
  </si>
  <si>
    <t>https://www.primegc.com/post/complete-computype-remodel</t>
  </si>
  <si>
    <t>2285 County Rd C West</t>
  </si>
  <si>
    <t>Meta (Facebook parent)</t>
  </si>
  <si>
    <t>The University of MN Board of Regents approved an almost $40 million land sale related to UMore Park that could lead to a $700 million investment into a new data center in Rosemount from Facebook’s parent company, Meta. Meta plans to power with renewable energy. The project still has several steps before it is finalized. 10/2023 update: utility regulators approved electricity contracts. 
12/2023: The plan that Rosemount County has approved shows a 750,000 sq ft data center campus that includes two data halls.</t>
  </si>
  <si>
    <t>https://www.startribune.com/facebook-parent-meta-plans-700m-data-center-for-rosemount-xcel-energy-university-minnesota-google/600301527/</t>
  </si>
  <si>
    <t>170th Street East</t>
  </si>
  <si>
    <t>Menlo Park</t>
  </si>
  <si>
    <t>Pioneer Industries</t>
  </si>
  <si>
    <t>An entity related to recycling firm Pioneer Industries International has paid $13.8 million for a former produce warehouse in New Brighton. The deal will bring up to 70 jobs to the city and rejuvenate a long-vacant building. The 110,692-square-foot building will house a paper sorting and distribution operation.The New Brighton building will replace Pioneer’s existing operation at 155 Irving Ave. N. in Minneapolis. After renovations, Pioneer plans to move into the new building in second quarter 2024.</t>
  </si>
  <si>
    <t xml:space="preserve">Waste Management (Recycling) </t>
  </si>
  <si>
    <t>https://finance-commerce.com/2023/09/paper-recycling-firm-buys-new-brighton-warehouse/</t>
  </si>
  <si>
    <t>600 Lakeview Point Drive</t>
  </si>
  <si>
    <t>Bloomingdale</t>
  </si>
  <si>
    <t>Solugen</t>
  </si>
  <si>
    <t>Marshall</t>
  </si>
  <si>
    <t>Houston-based Solugen plans to expand in Marshall. Solugen uses key technology processes and intellectual property to develop a sustainable, high-yield process of producing bio-based chemicals. The proposed project consists of constructing three (3) modular separate “trains”. The total project cost for the first train is $90 million, which includes about $40 million in new construction, as well as new machinery and equipment. Expects to create 38 jobs within the first year. Expect to open in 2025. DEED JCF Award: $760K
Update 6/2024: More awards: Federal DOE loan $213.6M, DEED MN Forward Fund $15M</t>
  </si>
  <si>
    <t>Chemicals (Fuels)</t>
  </si>
  <si>
    <t>https://finance-commerce.com/2023/08/chemical-startup-has-90m-plan-for-minnesota/</t>
  </si>
  <si>
    <t>701 N 7th St</t>
  </si>
  <si>
    <t>JCF $760K, Forward Fund $15M, Feds DOE $213.6</t>
  </si>
  <si>
    <t>Houston</t>
  </si>
  <si>
    <t>Essilor Laboratories is an optical lenses manufacturer. Building permit for Addition and remodel</t>
  </si>
  <si>
    <t>https://www.ci.stcloud.mn.us/DocumentCenter/View/24638/Septhttps://www.ci.stcloud.mn.us/DocumentCenter/View/25499/September-2023-2023</t>
  </si>
  <si>
    <t>Cameron Ashley Building Products</t>
  </si>
  <si>
    <t>Cameron Ashley Building Products. has signed on to lease 76,775 square feet at Maple Grove’s Arbor Lakes Business Park near Highway 169 and Interstate 94. Cameron Ashley is a leading wholesale distributor of roofing, insulation, gypsum, siding, and other specialty building products, and is based in South Carolina.</t>
  </si>
  <si>
    <t>DW?</t>
  </si>
  <si>
    <t>https://www.linkedin.com/feed/update/urn:li:activity:7112790975424458753/</t>
  </si>
  <si>
    <t>Caribou Coffee</t>
  </si>
  <si>
    <t>Caribou Coffee Co. has signed on to lease  100,543 square feet at Maple Grove’s Arbor Lakes Business Park near Highway 169 and Interstate 94. The lease will take up nearly half of the fourth building developed as part of Arbor Lakes. Caribou is expected to move into the new space at the start of 2024</t>
  </si>
  <si>
    <t>OF, DW?</t>
  </si>
  <si>
    <t>https://www.bizjournals.com/twincities/news/2023/09/29/caribou-coffee-arbor-lakes-lease-maple-grove.html</t>
  </si>
  <si>
    <t>JAB Holding</t>
  </si>
  <si>
    <t>Luxembourg</t>
  </si>
  <si>
    <t>Upper Lakes Foods Inc</t>
  </si>
  <si>
    <t>Upper Lakes Foods, Inc. plans to expand in Cloquet. The company is a full‐line, full‐service broadline food distributor serving customers in the Upper Midwest. The company plans to add 7,000 square feet of freezer space by constructing a new building addition. The total project cost is $2,688,416. The company expects to create 11 jobs within the first 3 years at an average cash wage of $24.18 per hour.  Construction to begin spring 2024.
Received DEED Award from JCF $220K, TIF $154.3K</t>
  </si>
  <si>
    <t xml:space="preserve">1720 Cannon Rd, </t>
  </si>
  <si>
    <t>JCF $220k, TIF $154.3k</t>
  </si>
  <si>
    <t>M S International (MSI)</t>
  </si>
  <si>
    <t>A countertop and flooring supplier is relocating to a new facility in Maple Grove’s Arbor Lakes Business Park. M S International Inc. (MSI), based in Orange, California, plans to relocate its current operations in Plymouth to a new, 195,013-square-foot facility by summer 2024. The project cost is $25 million.  MSI’s new facility will also be a regional headquarters for its operations across Minnesota and the Dakotas.</t>
  </si>
  <si>
    <t>https://www.bizjournals.com/twincities/news/2023/10/05/msi-arbor-lakes-buildout-facility.html</t>
  </si>
  <si>
    <t>Orange</t>
  </si>
  <si>
    <t>2023-Q4</t>
  </si>
  <si>
    <t>HWY 35</t>
  </si>
  <si>
    <t>IRRRB approved $10 million dollar loan for cannabis facility in Grand Rapids. 
HWY 35, LLC will establish a 30,000 sqft state-of-the-art cannabis cultivation and manufacturing facility. The proposed site is the former Ainsworth OSB plant in Grand Rapids. The HWY35 project is expected to invest $68 million and create 400 jobs. Renovations to begin mid-2024, operating by Jan 2025. The project is based in both manufacturing and agriculture, thus diversifying the local economy.</t>
  </si>
  <si>
    <t>https://www.wdio.com/front-page/top-stories/irrrb-approves-10-million-dollar-loan-for-cannabis-facility-in-grand-rapids/</t>
  </si>
  <si>
    <t>WDIO</t>
  </si>
  <si>
    <t>IRRRB ($10M), TIF ($2M)</t>
  </si>
  <si>
    <t>nVent Hoffman Enclosures</t>
  </si>
  <si>
    <t xml:space="preserve">Hoffman Enclosures Inc. (332322) is looking to expand in Anoka (Anoka County), Minnesota. The company designs, manufactures, markets, installs, and services high-performance products and solutions that help build a more sustainable and electrified world. The proposed project will be construction of an increase of 100,000 of additional manufacturing space. The total project cost is $27,000,000 with $4,000,000 being eligible for the capital investment rebate for renovations of an existing building, which would be rebated up to 5%. The company expected to create 141 jobs within three (3) years at an average cash wage of $34.96 per hour.  Company to receive MIF loan of $450,000, $175,000 from the Job Creation Fund. </t>
  </si>
  <si>
    <t>2100 Hoffman Way</t>
  </si>
  <si>
    <t>Rosenbauer</t>
  </si>
  <si>
    <t>Wyoming</t>
  </si>
  <si>
    <t xml:space="preserve">Rosenbauer's manufacturing operations are expanding to meet the surging demand for advanced firefighting technologies. Currently have 501 employees in MN and plan to add 60 new jobs over the next two years. Received MJSP award to provide training to 223 employees (including 60 expected new hires) between January 2024 to February 2026. Training partner is Hennepin Technical College. Courses focus on welding skills,  electrical and mechanical assembly,and other areas
DEED Award: MJSP  $391,213 </t>
  </si>
  <si>
    <t>DEED (MJSP)</t>
  </si>
  <si>
    <t>5190 260th St</t>
  </si>
  <si>
    <t>Leonding</t>
  </si>
  <si>
    <t>Austria</t>
  </si>
  <si>
    <t>Penske</t>
  </si>
  <si>
    <t>Pennsylvania-based Penske Truck Leasing Co. has paid $2.65 million for two buildings totaling 18,896 square feet and their 3.35-acre site at 7204 Winnetka Ave. N. in Brooklyn Park, adding space to Penske’s existing location next door. Penske operates more than 442,500 vehicles and serves customers from nearly 1,440 locations.</t>
  </si>
  <si>
    <t>https://finance-commerce.com/2023/10/just-sold-penske-adds-to-brooklyn-park-location/</t>
  </si>
  <si>
    <t>7204 Winnetka Ave. N</t>
  </si>
  <si>
    <t>Reading</t>
  </si>
  <si>
    <t>SOMIC Packaging, Inc.</t>
  </si>
  <si>
    <t>SOMIC Packaging Inc. (NAICS 423800) is looking to expand in Inver Grove Heights, relocating from its leased space in Eagan. Parent company is Somic Verwaltungs GmbH of Germany. SOMIC Packaging manufactures highly efficient, flexible case packing equipment. The company needs more space for service parts and product testing. Plan to purchase a newly constructed 48,000 sq ft building at Inverpointe Business Park that would be built out to meet its needs. The total project cost: $8.3 million. Will create 23 new jobs. DEED awards: JCF $345K, MIF $175K</t>
  </si>
  <si>
    <t>https://ighmn.portal.civicclerk.com/event/1647/files/attachment/4573</t>
  </si>
  <si>
    <t>City of Inver Grove Heights, DEED</t>
  </si>
  <si>
    <t>8360 Courthouse Boulevard</t>
  </si>
  <si>
    <t>MIF ($175K), JCF ($345K)</t>
  </si>
  <si>
    <t>SOMIC Verwaltungs GmbH</t>
  </si>
  <si>
    <t>Amerang</t>
  </si>
  <si>
    <r>
      <t xml:space="preserve">International flexible-office space company IWG PLC is opening five new Twin Cities locations next year. </t>
    </r>
    <r>
      <rPr>
        <b/>
        <sz val="10"/>
        <rFont val="Calibri"/>
        <family val="2"/>
        <scheme val="minor"/>
      </rPr>
      <t>Bloomington:</t>
    </r>
    <r>
      <rPr>
        <sz val="10"/>
        <rFont val="Calibri"/>
        <family val="2"/>
        <scheme val="minor"/>
      </rPr>
      <t xml:space="preserve"> 4470 78th St. Circle, under the Regus brand. Spanning 17,880 square feet, this location will open the second quarter of 2024.</t>
    </r>
  </si>
  <si>
    <t>https://www.bizjournals.com/twincities/news/2023/10/30/iwg-coworking-space-twin-cities-new.html</t>
  </si>
  <si>
    <t>4470 78th St. Circle</t>
  </si>
  <si>
    <t> 44.85968</t>
  </si>
  <si>
    <r>
      <t xml:space="preserve">International flexible-office space company IWG PLC is opening five new Twin Cities locations next year. </t>
    </r>
    <r>
      <rPr>
        <b/>
        <sz val="10"/>
        <rFont val="Calibri"/>
        <family val="2"/>
        <scheme val="minor"/>
      </rPr>
      <t>Brooklyn Center:</t>
    </r>
    <r>
      <rPr>
        <sz val="10"/>
        <rFont val="Calibri"/>
        <family val="2"/>
        <scheme val="minor"/>
      </rPr>
      <t xml:space="preserve"> 6160 Summit, located at 6160 Summit Drive N., under the Regus brand. This location, with 9,900 square feet, is expected to open second quarter of 2024.</t>
    </r>
  </si>
  <si>
    <t>6160 Summit</t>
  </si>
  <si>
    <r>
      <t xml:space="preserve">International flexible-office space company IWG PLC is opening five new Twin Cities locations next year. </t>
    </r>
    <r>
      <rPr>
        <b/>
        <sz val="10"/>
        <rFont val="Calibri"/>
        <family val="2"/>
        <scheme val="minor"/>
      </rPr>
      <t>Downtown Minneapolis</t>
    </r>
    <r>
      <rPr>
        <sz val="10"/>
        <rFont val="Calibri"/>
        <family val="2"/>
        <scheme val="minor"/>
      </rPr>
      <t>: Canadian Pacific Plaza, located at 120 South Sixth St., with the Regus brand. The 6,553-square-foot location has an opening date of the second quarter of 2024.</t>
    </r>
  </si>
  <si>
    <t>120 South Sixth St.</t>
  </si>
  <si>
    <t>IWG (Spaces)</t>
  </si>
  <si>
    <r>
      <t xml:space="preserve">International flexible-office space company IWG PLC is opening five new Twin Cities locations next year. </t>
    </r>
    <r>
      <rPr>
        <b/>
        <sz val="10"/>
        <rFont val="Calibri"/>
        <family val="2"/>
        <scheme val="minor"/>
      </rPr>
      <t>Uptown Minneapolis</t>
    </r>
    <r>
      <rPr>
        <sz val="10"/>
        <rFont val="Calibri"/>
        <family val="2"/>
        <scheme val="minor"/>
      </rPr>
      <t xml:space="preserve">: MoZaic East, located at 13300 Lagoon Ave., under the brand Spaces. The opening date is the first quarter of 2024. It will span 22,271 square feet on the fourth floor. </t>
    </r>
  </si>
  <si>
    <t>13300 Lagoon Ave</t>
  </si>
  <si>
    <r>
      <t xml:space="preserve">International flexible-office space company IWG PLC is opening five new Twin Cities locations next year.  </t>
    </r>
    <r>
      <rPr>
        <b/>
        <sz val="10"/>
        <rFont val="Calibri"/>
        <family val="2"/>
        <scheme val="minor"/>
      </rPr>
      <t xml:space="preserve">St. Paul: </t>
    </r>
    <r>
      <rPr>
        <sz val="10"/>
        <rFont val="Calibri"/>
        <family val="2"/>
        <scheme val="minor"/>
      </rPr>
      <t>This Spaces-branded location, at 102 Water Street, will span 9,720 square feet and open second quarter of 2024.</t>
    </r>
  </si>
  <si>
    <t>102 W. Water Street</t>
  </si>
  <si>
    <t> -93.09269</t>
  </si>
  <si>
    <t>Diversified Drywall Systems</t>
  </si>
  <si>
    <t xml:space="preserve">Warren Schmidt, owner of Diversified Drywall Systems, already is pulling permits to remodel the nearby building at 15550 93rd Lane NE so he can move his business from right around the corner. Schmidt Property Management LLC paid $2.1 million for the property, which Includes a 14,824-square-foot office warehouse with three dock high doors, two drive-in doors and 16 feet of clear height. </t>
  </si>
  <si>
    <t>DW, OF</t>
  </si>
  <si>
    <t>https://finance-commerce.com/2023/11/just-sold-neighbor-snaps-up-nordic-insulation-building/</t>
  </si>
  <si>
    <t>15550 93rd Lane NE</t>
  </si>
  <si>
    <t>Carter Americas</t>
  </si>
  <si>
    <t xml:space="preserve">Precision bearing specialist UK-based Carter Manufacturing unveiled the completed expansion of its US-based Carter Americas facility in Minneapolis to further support its customers in the Americas. Carter Americas’ larger facility will have more space to hold inventories, including hybrid and ceramic bearings for high temperature, cryogenic, ultra-high vacuum, and other applications.The new ‘state-of-the-art’ facility enables urgent, next-day deliveries. </t>
  </si>
  <si>
    <t>https://www.carterbearings.co.uk/news/carter-manufacturing-limited-soars-to-new-heights-with-carter-americas-expansion-</t>
  </si>
  <si>
    <r>
      <t> </t>
    </r>
    <r>
      <rPr>
        <sz val="11"/>
        <rFont val="Roboto"/>
      </rPr>
      <t>11975 Portland Ave #118,</t>
    </r>
  </si>
  <si>
    <t>Carter Manufacturing</t>
  </si>
  <si>
    <t>Abingdon</t>
  </si>
  <si>
    <t>UK</t>
  </si>
  <si>
    <t>Rion Aesthetics</t>
  </si>
  <si>
    <t>Rion Inc plans to expand in Rochester. Rion reimagines regenerative biotherapies and plans on scaling their production for their flagship innovation, Purified Exosome Product. Rion intends to relocate to a new larger leased space of around 10,000 square feet, which it will renovate to GMP grade manufacturing. The new faciliity will be in a former IBM building, and will be for its spin off Rion Aesthetics. The total project cost is $7,335,000. Will create 22 new jobs. DEED is supporting the project with awards totalling $615K (JCF $440K, MIF $175K).</t>
  </si>
  <si>
    <t>https://www.bizjournals.com/twincities/inno/stories/news/2024/02/16/rion-startup-from-mayo-doctors.html</t>
  </si>
  <si>
    <t>DEED, Minneapolis St Paul Business Journal</t>
  </si>
  <si>
    <t>202 4th St SW</t>
  </si>
  <si>
    <t>JCF $440K, MIF $175K</t>
  </si>
  <si>
    <t>Arbor Wood Co., a Duluth-based manufacturer of thermally modified eco-friendly, sustainable-wood products is opening a new production facility in Bagley.  Arbor Wood's planned Bagley site includes 25,000 square feet of production space. The entire facility, including dry storage, is roughly 50,000 square feet on nine acres. The manufacturing plant sits within a designated Opportunity Zone, and is now in operation.</t>
  </si>
  <si>
    <t>https://www.businessnorth.com/daily_briefing/arbor-wood-acquires-ecovantage-opens-new-bagley-production-plant/article_723a7b6a-8e08-11ee-b454-7706109df2e8.html?utm_source=businessnorth.com&amp;utm_campaign=%2Fnewsletters%2Fwednesday-headlines%2F%3Fscrape%3Dtrue%26-dc%3D1701291605&amp;utm_medium=email&amp;utm_content=headline</t>
  </si>
  <si>
    <t>Mayo Clinic leaders unveiled plans for five new buildings, with 2.4 million square feet, at its flagship campus in Rochester totaling $5 billion. Construction for the new buildings will be spread out over six years beginning in 2024 and include two new clinical buildings in downtown Rochester. Goal is to open some facilities as early as 2028, with the project expected to be completed by 2030.</t>
  </si>
  <si>
    <t>https://newsnetwork.mayoclinic.org/discussion/mayo-clinic-board-of-trustees-approves-plans-to-transform-healthcare-improve-experience-for-staff-and-patients-redesign-rochester-campus/
https://minnesotareformer.com/2023/11/28/mayo-clinic-leaders-unveil-5-billion-in-infrastructure-investments-with-political-leaders/</t>
  </si>
  <si>
    <t>Minnesota Reformer</t>
  </si>
  <si>
    <t>1216 2nd St SW,</t>
  </si>
  <si>
    <t>Revo Health</t>
  </si>
  <si>
    <t xml:space="preserve">Revo Health, the business support services company tied to Twin Cities Orthopedics, has signed a 33,492-square-foot lease for an 11-year term where its new headquarters will be based in Bloomington. The company will move after renovating the space in the first quarter of 2024. The new headquarters will consolidate over 300 employees from the company's two other office locations in Golden Valley and Bloomington. </t>
  </si>
  <si>
    <t>https://www.bizjournals.com/twincities/news/2023/11/28/revo-health-bloomington-headquarters-tco-lease.html</t>
  </si>
  <si>
    <t>3500 W. American Blvd</t>
  </si>
  <si>
    <t> -93.32531</t>
  </si>
  <si>
    <t>Sam's Club</t>
  </si>
  <si>
    <t xml:space="preserve">Sam's Club is opening two new distribution centers in early 2024 in the Midwest, and one of them will be in Shakopee. Sam’s Club said that the Shakopee facility will serve as a multipurpose distribution center and will employ more than 80 associates, which the retailer is currently hiring. Sam’s Club, a division of Bentonville, Arkansas-based Walmart Inc. (NYSE: WMT), is leasing 365,000 square feet of space in Shakopee’s newly built Southwest Distribution Center, at 7400 Hentges Way. It will open in March. </t>
  </si>
  <si>
    <t>https://www.bizjournals.com/twincities/news/2023/11/30/sams-club-southwest-distribution-center-shakopee.html</t>
  </si>
  <si>
    <t>7400 Hentges Way</t>
  </si>
  <si>
    <t>Bentonville</t>
  </si>
  <si>
    <t>AR</t>
  </si>
  <si>
    <t>Aldevron</t>
  </si>
  <si>
    <t>A North Dakota-based biotechnology company has plans to move into and modernize a 23-acre Eden Prairie site, formerly the headquarters of Supervalu Inc. and Bluestem Brands Inc. Fargo-based Aldevron manufactures plasmid DNA, proteins, enzymes and more. Aldevron seeks to renovate and expand upon an existing 2-story, 345,503-square-foot building at 7075 Flying Cloud Drive. The location is expected to employ 500 people, 80% of whom would be new hires. Aldevron proposes constructing a 96,344 sqft addition to the existing building, while also remodeling the existing building.</t>
  </si>
  <si>
    <t>https://www.bizjournals.com/twincities/news/2023/12/08/aldevron-biotech-eden-prairie-supervalu-bluestem.html</t>
  </si>
  <si>
    <t>7075 Flying Cloud Drive</t>
  </si>
  <si>
    <t>NVE Corporation</t>
  </si>
  <si>
    <t>NVE Corporation (NAICS 334413) is looking to expand in Eden Prairie.  NVE Corporation sells devices that use spintronics, a type of nanotechnology.  The company is looking to lease an additional 7,000 square feet with a production cleanroom, equipment support areas, and employee space in the same business center they are currently located in. The total project cost is $5.1 million for renovations, machinery and equipment and other costs. The company expects to create 23 jobs within the first 3 years. 
DEED Awards: MIF $400K, JCF $210K</t>
  </si>
  <si>
    <t>11409 Valley View Rd</t>
  </si>
  <si>
    <t>MIF ($400K), JCF ($210K)</t>
  </si>
  <si>
    <t>Chandler Industries Inc</t>
  </si>
  <si>
    <t>Chandler Industries is a privately owned multi-site contract manufacturer of precision machined and fabricated sheet metal components and assemblies. In 2023, Chandler consolidated multiple divisions in Blaine,  which also serves as its corporate headquarters. Chandler employs 300 people. The expansion project involves about $1 million in capital investment in new machines and equipment at Chandlers' existing 100,000 SF leased facility. Other expenses include limited renovations and larger work areas for new workers.
DEED Award: $304K MIF</t>
  </si>
  <si>
    <t>https://blainemn.portal.civicclerk.com/event/1034/files/report/1352</t>
  </si>
  <si>
    <t>City of Blaine</t>
  </si>
  <si>
    <t>8650 W 35W Service Dr NE</t>
  </si>
  <si>
    <t>MIF ($304K)</t>
  </si>
  <si>
    <t>North Woods Finishing LLC</t>
  </si>
  <si>
    <t>North Woods Finishing, a cabinet making company, operates a pre-finishing plant in Princeton. The company handles all aspects of pre-finishing, such as assembly, design-build and packaging of its products. The proposed project includes a new facility, new equipment, new production lines, and job creation. Proposed investment of $2.65M covers $250K renovation, $2.2M in eqiupment and $0.2M in other costs. The project will create 32 FTE jobs within 2 years. 
DEED Award: MIF $350K</t>
  </si>
  <si>
    <t>https://public.onboardmeetings.com/Meeting/7DYYwB2thfJp5PD%2FSmfRwTmZsA91%2F4oQGpJ6oj52Bc4A/sBeZ5Bkc68NmVoGuD4NsAogF0Ns2dpJHrBrYqQY7XEkA?ReturnUrl=%2FOrganization%2F7DYYwB2thfJp5PD%252FSmfRwTmZsA91%252F4oQGpJ6oj52Bc4A</t>
  </si>
  <si>
    <t>City of Princeton</t>
  </si>
  <si>
    <t>1502 14th St</t>
  </si>
  <si>
    <t>MIF ($350K)</t>
  </si>
  <si>
    <t>Construction Permit Description: Aerospace and defense manufacturer General Dynamics Phase 1 - Demo of interior office space and build out of new IT Space</t>
  </si>
  <si>
    <t>2024-Q1</t>
  </si>
  <si>
    <t>Timberwolves</t>
  </si>
  <si>
    <t xml:space="preserve">The Minnesota Timberwolves are extending and expanding lease deals at the downtown Minneapolis property. Jon Dahl, managing director for JLL’s Minneapolis office, said the Timberwolves added about 9,000 square feet of space on the second floor for office needs. The NBA team has about 70,000 total square feet in the building, </t>
  </si>
  <si>
    <t>https://www.bizjournals.com/twincities/news/2024/01/04/mayo-clinic-and-timberwolves-reinvest-in-downtown.html</t>
  </si>
  <si>
    <t>600 N 1st St</t>
  </si>
  <si>
    <t>Modist Brewing</t>
  </si>
  <si>
    <t xml:space="preserve">Modist Brewing Co. is expanding statewide distribution of its beer and THC offerings. It had its best year “by a wide margin” in 2023. Sales grew, mostly thanks to the explosive popularity of THC beverages. The company finished the $2 million revamp of its event center, which is now operational.
Modist just bought a $1 million warehouse at 301 Royalston Ave. N. at the end of December. The brewery plans to move its distribution and cold storage to the new 9,000 square foot space.  The warehouse has four loading docks, up from Modist's single loading dock. </t>
  </si>
  <si>
    <t>https://www.bizjournals.com/twincities/news/2024/01/09/modist-warehouse-acquisiton.html</t>
  </si>
  <si>
    <t>301 Royalston Ave. N</t>
  </si>
  <si>
    <t>Summit Medical</t>
  </si>
  <si>
    <t xml:space="preserve">Summit MEdical, a developer and manufacturer of medical devices, has grown from 16 employees in 2011 to now over 100 employees. Summit Medical has signed a 73,000 square feet lease for nine years, expanding its headquarters in Eagan’s Viking Lakes. This lease renews the company’s existing lease for 41,000 square feet, and adds 32,000 square feet - allowing it to relocate operations from another space in Eagan. The space will offer offices, distribution, clean-room manufacturing and the assembly of finished products.  </t>
  </si>
  <si>
    <t>https://www.bizjournals.com/twincities/news/2024/01/09/medical-device-eagan-wilf-viking-lakes-lease.html</t>
  </si>
  <si>
    <t>815 Vikings Parkway</t>
  </si>
  <si>
    <t>Wausau Coated Products</t>
  </si>
  <si>
    <t>Wisconsin-based Wausau Coated Products Inc. has paid $5.9 million in cash for the former J-Mark Products office warehouse in Plymouth, which it plans to make its first location in Minnesota. The family-owned and operated Wausau company is a leading manufacturer of adhesive-based label products. The 74,867-square-foot block building sits on 4.84 acres at 2790 Ranchview Lane N and was renovated in 1992. It includes four dock doors, one drive-in door and 18 feet of clear height.</t>
  </si>
  <si>
    <t>https://finance-commerce.com/2024/01/just-sold-wausau-coated-products-buys-plymouth-plant/</t>
  </si>
  <si>
    <t>2790 Ranchview Lane N.</t>
  </si>
  <si>
    <t>O'Shaughnessy Distilling</t>
  </si>
  <si>
    <t>O'Shaughnessy Distilling is planning to expand. A Contamination Cleanup Grant was awarded to the City of Minneapolis ($394,411) for a site at which O'Shaughnessy Distilling will expand. Site will be redeveloped into a 24,242-square-foot warehouse with offices for business expansion. The project is anticipated to create or retain 26 jobs, increase the local tax base by $120,268 and leverage $4 million of private investment. The developer and other grant sources will provide matching funds.</t>
  </si>
  <si>
    <t>https://mn.gov/deed/newscenter/press-releases/?id=620895#/detail/appId/1/id/606186</t>
  </si>
  <si>
    <t>Contamination Cleanup</t>
  </si>
  <si>
    <t>Donaldson Company</t>
  </si>
  <si>
    <t xml:space="preserve">Bloomington Construction Permit: Phase 1 Only - Tenant Remodel on 3rd Floor. </t>
  </si>
  <si>
    <t>1500 W 94TH ST</t>
  </si>
  <si>
    <t>Saia LTL Freight</t>
  </si>
  <si>
    <t xml:space="preserve">Saia Inc purchased a building located at 200 32nd Ave. NW, with 23,750 square feet for $14 million. Steele County valued the property as being worth $1.2 million. Ryan Nolander, a principal at Hamilton Real Estate in Rochester, said Owatonna makes sense from a logistics standpoint because it is connected to two major corridors, Interstate 35 and Highway 14. </t>
  </si>
  <si>
    <t>Transportation, Logistics</t>
  </si>
  <si>
    <t>https://finance-commerce.com/2024/01/owatonna-warehouse-fetches-14m/</t>
  </si>
  <si>
    <t>200 32nd Avenue Northwest</t>
  </si>
  <si>
    <t>LightEdge</t>
  </si>
  <si>
    <t xml:space="preserve">Iowa-based LightEdge Solutions is expanding into Minnesota with the purchase of a 76,000-square-foot data center in Chaska, for $31 million. LightEdge is planning to hire additional sales and support staff to expand operations at the Chaska data center. LightEdge also plans to add more security certifications so that it can acquire local clients in highly regulated industries like finance, insurance and healthcare. About 30,000 square feet of data hall space is available for immediate expansion. </t>
  </si>
  <si>
    <t>https://www.bizjournals.com/twincities/news/2024/01/22/lightedge-buys-chaska-data-center-for-31-million.html</t>
  </si>
  <si>
    <t>1708 West Creek Lane</t>
  </si>
  <si>
    <t>St. Louis</t>
  </si>
  <si>
    <t>Retailing giant Amazon.com Inc. purchased an 18-acre parcel in a Duluth business park with plans to build a new distribution center at the site. The project will cost at least $9 million. No incentives were offered for the purchase.  Amazon.com Services bought the property last month for $90,324 from the Duluth EDA. 
Daniel Fanning, executive director of the Duluth Chamber Foundation, said the site will be an Amazon distribution center. 
Construction is already underway, and slated for completion by 2025.</t>
  </si>
  <si>
    <t>https://www.bizjournals.com/twincities/news/2024/01/29/amazon-duluth-distribution-center.html</t>
  </si>
  <si>
    <t>2302 Commonwealth Ave</t>
  </si>
  <si>
    <t>Northeast</t>
  </si>
  <si>
    <t>Sofidel America (formerly ST Paper)</t>
  </si>
  <si>
    <t>About a year into operations as ST Paper, Duluth's longtime paper mill was sold to an Italian paper products company, Sofidel.  Sofidel will invest $250M to convert production equipment from producing jumbo paper reels to producing paper products for household retail and commercial markets. It will likely take about three years to complete the transformation, which includes expanding the plant and adding warehouse space. While ST Paper currently employs about 80 people, Sofidel will need around 240 workers. Sofidel will invest $140-$200 million. With the Duluth acquisition, Sofidel owns seven U.S. mills.
DEED Awards: MIF $1.68M, JCF: $3.12M</t>
  </si>
  <si>
    <t>https://www.bizjournals.com/twincities/news/2024/10/10/paper-mill-expansion-250m.html</t>
  </si>
  <si>
    <t>100 N Central Ave</t>
  </si>
  <si>
    <t>10/2024 Duluth/St Louis County: $600K tax credits, $242K forgivable loan, $14.3 million tax increment financing package.  DEED for Sofidel: MIF $3.12M. JCF $1.68M. DEED to City of Duluth $2.4M cleanup grant</t>
  </si>
  <si>
    <t>Sofidel</t>
  </si>
  <si>
    <t>LISI Medical Remmele Inc - 2024</t>
  </si>
  <si>
    <t>LISI Medical Remmele, Inc. (NAICS 339112) is looking to expand in Big Lake. LISI-Medical is a division of LISI-Group. LISI-Medical is a prominent manufacturer of medical devices, particularly orthopedic implants and instruments for minimally invasive surgery. The company is looking to expand the facility by roughly 45,000 to 50,000 square feet. The total project cost is $23.6 million, for renovations, new machinery and equipment, and other expenses. The company expects to create 30 jobs within the first 3 years.
DEED Award: JCF $450K</t>
  </si>
  <si>
    <t>https://mn.gov/deed/newscenter/press-releases/?id=1045-642096</t>
  </si>
  <si>
    <t>17701 198th Ave</t>
  </si>
  <si>
    <t>JCF ($450K)</t>
  </si>
  <si>
    <t>Clifton-Larson-Allen</t>
  </si>
  <si>
    <t>Accounting firm Clifton-Larson-Allen has signed a 16-year lease for 40,000 square feet of office space at the Viking Lakes campus in Eagan. The space will be in addition to the firm's downtown Minneapolis and other Minnesota offices.
CLA will spend $10 million building out the space over the next year and plans to open the office in 2025.  The firm has more than 1,200 employees in the metro and headquarters out of the U.S. Bank Plaza building.</t>
  </si>
  <si>
    <t>https://www.bizjournals.com/twincities/news/2024/02/06/cliftonlarsonallen-signs-lease-at-viking-lakes.html</t>
  </si>
  <si>
    <t>2685 Vikings Circle</t>
  </si>
  <si>
    <t>Bloomington Construction Permit: General Dynamics - 8800 Queen Ave S - Phase II 2024 Project. Convert existing office space into high security SAPF (Special Access Program Facilities) area. Relocate existing bathrooms into existing office space.</t>
  </si>
  <si>
    <t>OF, Other</t>
  </si>
  <si>
    <t>BAE Systems</t>
  </si>
  <si>
    <t>BAE Systems Land &amp; Armaments, the British arms and aerospace manufacturer, is the mystery company behind Maple Grove's "Project Libre" that's planning to build a 236,000-square-foot manufacturing, warehouse and R&amp;D facility in the Twin Cities suburb, and could create as many as 500 new jobs. Maple Grove is considering a $600,000 tax increment financing plan. BAE already has a presence in the state, with facilities in Fridley and Minneapolis, making and supporting artillery guns, tanks, combat vehicles and other equipment. Update: Broke ground in April 2024.</t>
  </si>
  <si>
    <t>MF, RD, DW</t>
  </si>
  <si>
    <t>https://www.bizjournals.com/twincities/news/2024/02/09/bae-systems-maple-grove-project-libre.html</t>
  </si>
  <si>
    <t>Potentially: Maple Grove TIF $600K</t>
  </si>
  <si>
    <t>BAE</t>
  </si>
  <si>
    <t>Microsoft Corp</t>
  </si>
  <si>
    <t>Microsoft Corp. purchased nearly 300 acres of land in Becker, Minnesota, from Xcel Energy for a new data center. The technology giant purchased six parcels for nearly $17.7 million. It's not known how big a project Microsoft is planning here. 
Xcel had previously secured a deal with Google to build a large data center in Becker but terminated that deal in late 2022.  Xcel is also working with Elk River Technologies to sell 348 acres near its Becker coal plants for another data center.
Xcel confirmed that the Microsoft site was distinct from the Google and Elk River sites.</t>
  </si>
  <si>
    <t>https://www.bizjournals.com/twincities/news/2024/02/14/microsoft-becker-xcel-energy-land-data-center.html</t>
  </si>
  <si>
    <t>J&amp;L Wire Cloth LLC</t>
  </si>
  <si>
    <t>J&amp;L Wire Cloth LLC (NAICS 332618) is looking to expand in St. Paul. J&amp;L Wire Cloth is a leading manufacturer of galvanized  wire decking and shelving used in warehouse storage, material handling, and logistics. The company plans to build a 30,000 square foot building on land owned by its parent company. The total project cost is $9.6 million, covering site improvements, new construction, and new machinery and equipment. The company expects to  create 15 jobs within the first 3 years. 
DEED Awards: $178K for Contaminent Cleanup. MIF $250K, JCF $175K</t>
  </si>
  <si>
    <t>https://mn.gov/deed/newscenter/press-releases/?id=1045-625763</t>
  </si>
  <si>
    <t>268 W Water St</t>
  </si>
  <si>
    <t>Kato Engineering Inc. (NAICS 335312) is looking to expand in North Mankato. Kato Engineering provides custom power generaton solutions for a wide range of applications. The total project 
cost $7.2 million. Construction includes site improvement and renovations of an existing building. Expenditures also include $4 million for the purchase of machinery and equipment. The company expects to create 42 jobs within two years at an average cash wage of $24.99 per hour. 
DEED Awards: $175K JCF, MIF $300K</t>
  </si>
  <si>
    <t>2075 W Howard Dr</t>
  </si>
  <si>
    <t>MIF ($300K), JCF ($175K)</t>
  </si>
  <si>
    <t>Pace Analytical Life Sciences LLC</t>
  </si>
  <si>
    <t>Pace Analytical Life Sciences, LLC (NAICS 541380) is looking to expand in Oakdale (Washington County). Pace Analytical Life Sciences, LLC is a full-service contract development and manufacturing organization (CDMO). The proposed project will be leasing 7,864 square feet more office space where the existing facility is located. The total project cost $3.6 million, which includes the cost of renovations. The company expected to create 59 jobs within three years at an average wage of $43.37 per hour. 
DEED Awards: MIF $450K, JCF $539K</t>
  </si>
  <si>
    <t>1311 Helmo Ave N</t>
  </si>
  <si>
    <t>MIF ($450K), JCF ($539K)</t>
  </si>
  <si>
    <t>R&amp;L Carriers</t>
  </si>
  <si>
    <t>The City of Farmington has been in talks with R&amp;L Carriers, a provider of shipping and logistics services, about a 100,000-square-foot expansion of its space in the Farmington Industrial Park. That project will go through the entitlement process this year and could also be under construction in 2024, said Deanna Kuennen, Farmington’s community development director.</t>
  </si>
  <si>
    <t>https://finance-commerce.com/2024/04/project-bengal-pitches-3-million-square-foot-industrial-project-in-farmington/</t>
  </si>
  <si>
    <t>5260 208th St W,</t>
  </si>
  <si>
    <t>Bloomington Construction Permit: Phase 2 Only - Tenant Improvement. Donaldson - 1400 Building Phase II - Workplace of the Future (WPOF)</t>
  </si>
  <si>
    <t>Mille Lacs Corporate Ventures</t>
  </si>
  <si>
    <t>Onamia</t>
  </si>
  <si>
    <t>Mille Lacs Corporate Ventures, the business arm of the Mille Lacs Band of Ojibwe, is building an indoor cannabis growing facility with 50,000 sqft of space that could be in production by September 2024. After its completion, it will take about five months before products are ready for retail sale. The facility is expected to produce about 1,600 pounds of flower per month. The new facility will create around 30 to 40 jobs. The facility cost is between $15 million and $20 million, funded by the Mille Lacs Band.</t>
  </si>
  <si>
    <t>AG/MF</t>
  </si>
  <si>
    <t>Cannabis</t>
  </si>
  <si>
    <t>https://www.bizjournals.com/twincities/news/2024/03/01/mille-lacs-growing-cannabis-facility.html</t>
  </si>
  <si>
    <t>777 Grand Ave</t>
  </si>
  <si>
    <t>Upsher-Smith Laboratories</t>
  </si>
  <si>
    <t xml:space="preserve">Upsher-Smith Laboratories (USL), a global company with locations in Plymouth and Maple Grove, specializes in pharmaceutical packaging and generic pharmaceuticals. In 2023, the company opened a new 270,000 square foot facility in Maple Grove where it employs 161 workers. They received an MJSP grant to train 168 people (including 35 new hires) between March 2024 to Oct. 2026. Their training partner is Hennepin Technical College. The custom training  program covers manufacturing fundamentals (to use new automated equipment and robotics) and occupational English. </t>
  </si>
  <si>
    <t>https://mn.gov/deed/newscenter/press-releases/?id=622815</t>
  </si>
  <si>
    <t>14905 23rd Ave N</t>
  </si>
  <si>
    <t>Japs-Olson</t>
  </si>
  <si>
    <t>Japs-Olson Company, located in St. Louis Park, is a third-generation, family-owned business that provides full-service custom print and direct mail services. Received MJSP grant for training 568 workers (including 98 new hires) between March 2024 and Oct. 2026. Training partner is Hennepin Technical college. Training aims to increase operational efficiences, DEI, conflict management, leadership, and Microsoft Office.
DEED Award: MJSP $123,434</t>
  </si>
  <si>
    <t>7500 Excelsior Blvd</t>
  </si>
  <si>
    <t>Kato Cable</t>
  </si>
  <si>
    <t>Kato Cable is a world class wire harness and cable assembly manufacturer located in Mankato.  Kato Cable has a payroll of 135 FTE workers. They expect that will increase to over 200 within three to five years. Their new planned expansion will triple the current manufacturing space at 99 Power Drive. Kato requested a loan of $500,000 from the EDA, to repaid over 15 years. Kato will use the funds to prepare a recently purchased property next to its current site for a 40,000-square-foot expansion. The $5 million construction project will be covered by $1 million of cash from Kato and a $4 million bank loan.</t>
  </si>
  <si>
    <t>https://infoweb.newsbank.com/apps/news/document-view?p=NewsBank&amp;docref=news/1979C69ECF45CA40&amp;f=basic</t>
  </si>
  <si>
    <t>News Bank</t>
  </si>
  <si>
    <t>99 Power Dr</t>
  </si>
  <si>
    <t>Kraft Mechanical</t>
  </si>
  <si>
    <t>An entity associated with contractor Kraft Mechanical has purchased Hohenstein's Woodbury 90,607 sqft headquarters at 2330 Ventura Drive for $10.75 million. The property was available because Hohenstein's is relocating to Cottage Grove. Kraft has been operating nearby at 2415 Ventura Drive in Woodbury. Kraft had good reason to make the purchase because it allows Kraft to consolidate its operations from three buildings into one, and to improve its operations without new construction.</t>
  </si>
  <si>
    <t>https://www.bizjournals.com/twincities/news/2024/03/06/hohensteins-sells-woodbury-headquarters.html</t>
  </si>
  <si>
    <t> 2330 Ventura Drive</t>
  </si>
  <si>
    <t>Hohenstein</t>
  </si>
  <si>
    <t>Wholesale beer distributor Hohenstein’s Inc is relocating its HQ from Woodbury to a new 160,000-square-foot headquarters (also serving as a new warehouse distribution center) in Cottage Grove this summer.
The new warehouse and office facility cost about $17 million. For the past couple decades, Hohenstein's has specialized as a wholesale distributor of domestic, imported and craft beer.</t>
  </si>
  <si>
    <t>HQ, DW</t>
  </si>
  <si>
    <t xml:space="preserve"> 95th Street South and Jamaica Avenue South</t>
  </si>
  <si>
    <t>Direct Source</t>
  </si>
  <si>
    <t>Retail technology-systems company Direct Source has Chanhassen office and warehouse headquarters. Direct Source employs about 100 people working at its headquarters and 3,000 contracted technicians.
Renovation off their headquarters costed the company “multi-millions". The renovation entailed a complete overhaul of the office space, which takes up about 25,000 square feet. Direct Source provides workers with a "flexible" work model.</t>
  </si>
  <si>
    <t>OF, DW</t>
  </si>
  <si>
    <t>https://www.bizjournals.com/twincities/news/2024/03/12/direct-source-chanhassen-reno.html</t>
  </si>
  <si>
    <t>8176 Mallory Ct</t>
  </si>
  <si>
    <t>Yoyo Donuts</t>
  </si>
  <si>
    <t>Walker</t>
  </si>
  <si>
    <t>Cass</t>
  </si>
  <si>
    <t>Walker area natives Luke and Alise McGregor purchased YoYo Donuts, a gourmet donut store, in Minnetonka early in 2023. As business has grown, a second location in downtown Walker was opened in Spring of 2023. The products are sold locally and shipped all across the country. When production capacity neared its limit, the owners planned to add a full production kitchen for the Walker store. Renovations are underway at the Walker location and are expected to be completed by May 1. 
DEED Award: MIF ($190K)</t>
  </si>
  <si>
    <t>https://www.pineconepresscitizen.com/news/2024/apr/05/yoyo-donuts-brings-full-production-to-downtown-walker/</t>
  </si>
  <si>
    <t>Pine Cone Press Citizen</t>
  </si>
  <si>
    <t>407 Minnesota Ave</t>
  </si>
  <si>
    <t>MIF ($190K)</t>
  </si>
  <si>
    <t>First Resource Bank</t>
  </si>
  <si>
    <t>First Resource Bank will move its corporate headquarters from Stillwater to Minneapolis' Mill District. The bank expects its new corporate offices to open this summer in the Ironclad Building, Currently, the bank has around 2,000 square feet for its branch already in the Ironclad. When the project is completed, the bank will have more than 6,000 square feet of space in the building. The location will be more accessible to its customer base.</t>
  </si>
  <si>
    <t>https://www.bizjournals.com/twincities/news/2024/03/19/first-resource-bank-moving-to-mill-district.html</t>
  </si>
  <si>
    <t>811 Washington Ave S</t>
  </si>
  <si>
    <t>Phoenix Preclinical Labs</t>
  </si>
  <si>
    <t>PHOENIX Preclinical Labs is a Contract Research Organization (CRO) that provides evaluation and testing of Medical Devices and Biomedical Materials.  Our ~126,000 sq. ft. facility will open in Coon Rapids in July 2024. Build out of nearly $11 million in construction. (from Coon Rapids Building Permits report, 2024-Q1).</t>
  </si>
  <si>
    <t>R&amp;D, medical testing services</t>
  </si>
  <si>
    <t>https://www.coonrapidsmn.gov/ArchiveCenter/ViewFile/Item/1350</t>
  </si>
  <si>
    <t>501 90th Ave</t>
  </si>
  <si>
    <t>IDC Automatic</t>
  </si>
  <si>
    <t>Site Plans were approved for a 25,570 square foot expansion to the existing IDC Automatic industrial building. This would allow the business to achieve its goal of moving out of its leased space at 9355 Holly Street and keep its operations all within one building. idc-Automatic is a leader in high-performance residential, commercial,  industrial and custom garage doors for families and businesses in Minneapolis, St. Paul area.</t>
  </si>
  <si>
    <t>360 Coon Rapids Blvd</t>
  </si>
  <si>
    <t>Post Consumer Brands</t>
  </si>
  <si>
    <t xml:space="preserve">Post Consumer Brands began construction in June on its
new pet food pilot plant to be located at 21370 Heywood Avenue. Lakeville issued the highest building permit through March 2024 to Post Consumer Brands valued at $3,000,000 for improvements to a newly acquired facility in the industrial park. </t>
  </si>
  <si>
    <t>https://gis2.lakevillemn.gov/portal/apps/storymaps/stories/da11cc2721624420aa8dae5b20c7d75d</t>
  </si>
  <si>
    <t>21370 Heywood
Avenue</t>
  </si>
  <si>
    <t>Schafer Richardson</t>
  </si>
  <si>
    <t xml:space="preserve">Real estate development company Schafer Richardson has moved into a newly built out headquarters just across the street from its former home in Minneapolis' North Loop. Schafer moved into its new headquarters in Basset Creek Business Center, a building it owns at 901 N. Third St., last month. The new space on the 1st and 2nd floors is over 25,000 square feet. </t>
  </si>
  <si>
    <t>https://www.bizjournals.com/twincities/news/2024/04/09/schafer-richardson-north-loop-minneapolis-hq.html</t>
  </si>
  <si>
    <t>901 N. Third St.,</t>
  </si>
  <si>
    <t>2024-Q2</t>
  </si>
  <si>
    <t>Yarkstik</t>
  </si>
  <si>
    <t>Yardstik, a tech startup that helps streamline the hiring and onboarding of new employees, is moving its headquarters from Edina to downtown Minneapolis. The company will move to 100 Washington Square, into a 14,000 square feet space, more than double the size of its previous space in Edina. The company's customer base has grown from 175 a year ago to more than 700. Its staff as grown to 52 employees, 14 of them hired over the past year. They've stayed busy hiring for positions in sales, marketing and product engineering.</t>
  </si>
  <si>
    <t>https://www.bizjournals.com/twincities/inno/stories/news/2024/04/23/yardstiks-new-hq-in-downtown.html</t>
  </si>
  <si>
    <t>100 Washington Square,</t>
  </si>
  <si>
    <t>LEI Packaging</t>
  </si>
  <si>
    <t xml:space="preserve">LEI Packaging is a premier manufacturer of molded pulp packaging (such as egg cartons), made from 100% recycled paper. 
Chisago County EDA passed a resolution to support LEI's expansion with a loan of up to $100K. 
BDPI Award to the city of Chisago of $214,270 will assist in the construction of a street and utilities for their expanded industrial park. The expanded infrastructure supports expansions of two committed businesses, including LEI Packaging and King Kind, - who plan a combine investment of $34 million in buildings and equipment and would create 26 jobs. </t>
  </si>
  <si>
    <t>https://www.ci.chisago.mn.us/vertical/sites/%7B4CF416A7-935D-4E3F-82DF-F3E06B5985B0%7D/uploads/04.09.24_EDA_MINUTES.pdf</t>
  </si>
  <si>
    <t>Chisago County EDA</t>
  </si>
  <si>
    <t>29720 Lofton Ave</t>
  </si>
  <si>
    <t>BDPI (part of $214,270), Chisago County ($100K)</t>
  </si>
  <si>
    <t>Cogwear</t>
  </si>
  <si>
    <t>Cogwear, a small Philadelphia-based medical device startup that makes a headband to monitor brain activity, is opening a new facility in St. Paul. The expansion will produce its second-generation device, designed to deliver real-time brain insights. In addition to health care applications, it is also used in advertising and athletics. Company is working to get FDA clearance. The new site will have automated manufacturing for the wearable device's proprietary sensors.</t>
  </si>
  <si>
    <t>https://www.bizjournals.com/twincities/inno/stories/news/2024/04/25/cogwear-to-open-st-paul-facility.html</t>
  </si>
  <si>
    <t>2300 Myrtle Ave</t>
  </si>
  <si>
    <t>A new $1 million solar array is giving Nordic Ware’s headquarters in St. Louis Park a distinctive look as well as a sustainable source of power. Blaine-based Cedar Creek Energy partnered with Nordic Ware on the array, which generates about 450,000 kilowatts of electricity for the kitchenware company’s energy-intensive manufacturing building. The project will offset 5% of Nordic Ware’s yearly energy usage. The installation was completed in January.</t>
  </si>
  <si>
    <t>https://finance-commerce.com/2024/04/nordic-wares-headquarters-features-solar-facade/</t>
  </si>
  <si>
    <t>5005 Minnetonka Blvd.</t>
  </si>
  <si>
    <t>Robert Half Staffing Solutions</t>
  </si>
  <si>
    <t>Normandale Lake Office Park 8500 Robert Half. Office Remodel. Bloomington Construction Permits. Robert Half's dedicated recruiters use smart matching technology to help place professionals in temporary and/or permanent positions. The company specializes in Finance &amp; Accounting, Administrative &amp; Customer Support, Technology, Marketing &amp; Creative, and Legal positions.</t>
  </si>
  <si>
    <t>Employment Services</t>
  </si>
  <si>
    <t>AGCO</t>
  </si>
  <si>
    <t>Jackson</t>
  </si>
  <si>
    <t>AGCO Corp., a Georgia-based agricultural-equipment manufacturer, opened a 16,000-square-foot "customer experience center" this week in Jackson, Minnesota, where the company operates a large manufacturing facility. The lodge will serve as Fednt's North American hub for dealer training, sales meetings and brand celebrations.</t>
  </si>
  <si>
    <t>https://www.bizjournals.com/twincities/news/2024/05/03/agco-corp-opens-customer-experience-center.html</t>
  </si>
  <si>
    <t>202 Industrial Pkwy ·</t>
  </si>
  <si>
    <t>Egan Company</t>
  </si>
  <si>
    <t>Kasson</t>
  </si>
  <si>
    <t>Twin Cities-based Egan Co. will soon break ground on May 13 on a 40,000-square-foot prefabrication facility in Kasson to support its area electrical contracting operations. The new prefabrication and warehouse complex will prefabricate electrical components and assemblies used in Egan contracting projects, completed and ready for use by January. Once this facility is up and running, 20 Egan employees will transfer from the Rochester office to Kasson. About 12 employees will remain in Rochester.</t>
  </si>
  <si>
    <t>https://infoweb.newsbank.com/apps/news/document-view?p=NewsBank&amp;docref=news/198D5257819ADF98&amp;f=basic</t>
  </si>
  <si>
    <t>Rochester Post-Bulletin (News Bank)</t>
  </si>
  <si>
    <t>500 Ninth St. SE</t>
  </si>
  <si>
    <t>Baxter Healthcare</t>
  </si>
  <si>
    <t>Baxter Healthcare primarily focuses on medical products to treat kidney disease, and other chronic and acute medical conditions. Golden Valley is in the running for Baxter Healthcare's one of four “R&amp;D Centers of Excellence." Baxter, a Deerfield, Illinois, is considering the 90,000 sqft of space at 201 General Mills Blvd. for its $40 million project that would create an estimated 100 jobs. Baxter would also relocate another 70 jobs to Golden Valley from an existing facility in Plymouth. 
DEED Awards: MIF $1.37M, JCF $1.84M</t>
  </si>
  <si>
    <t>https://www.bizjournals.com/twincities/news/2024/05/07/baxter-health-golden-valley.html</t>
  </si>
  <si>
    <t>201 General Mills Blvd</t>
  </si>
  <si>
    <t>MIF $1.37M, JCF $1.84M</t>
  </si>
  <si>
    <t>TKDA</t>
  </si>
  <si>
    <t>Engineering and design firm TKDA is moving from St. Paul, to a larger space in Bloomington. The company plans to lease 87,000 square feet in the SoLo 3311 building, and move in the first quarter of 2025. The company currently has about 300 employees and is expecting to hire more.  Buildout expected to start this summer. “With this new office, we think we're going to be much more able to retain our current employees and recruit additional employees to the space."</t>
  </si>
  <si>
    <t>https://www.bizjournals.com/twincities/news/2024/05/09/tkda-headquarters-st-paul-bloomington.html</t>
  </si>
  <si>
    <t>3311 E. Old Shakopee Road</t>
  </si>
  <si>
    <t>RL Cold</t>
  </si>
  <si>
    <t>RL Cold, a developer of cold storage facilities across the U.S., recently broke ground on a 292,000-square-foot cold storage facility within the Airlake Industrial Park in Lakeville. The Lakeville build will feature “advanced refrigeration technology including a transcritical Co2 system to provide precision in temperature control, optimal storage conditions for perishable items and energy efficiency.” The project is scheduled for completion in spring 2025.</t>
  </si>
  <si>
    <t>Warehousing, Storage</t>
  </si>
  <si>
    <t>https://finance-commerce.com/2024/05/cold-storage-facility-coming-to-lakeville/</t>
  </si>
  <si>
    <t>21535 Cedar Ave</t>
  </si>
  <si>
    <t>Remodel existing office space.</t>
  </si>
  <si>
    <t>Renovation of interior office space, restrooms, and associated mechanical and electrical work on the 3rd floor.</t>
  </si>
  <si>
    <t>PaR Systems</t>
  </si>
  <si>
    <t xml:space="preserve">Automation technology company PaR Systems plans to move its Shoreview headquarters to new facility being built Seven Lakes development project, also in Shoreview. The new building will be 140,000-square-foot, to be completed in Fall 2025, will boost production capacity by 40%. The company currently employs about 300 workers, and hopes to add 26 to 30 new jobs over five years. </t>
  </si>
  <si>
    <t>https://www.bizjournals.com/twincities/news/2024/06/05/shoreview-par-systems.html</t>
  </si>
  <si>
    <t>3660 Victoria St</t>
  </si>
  <si>
    <t>Nucleus RadioPharma</t>
  </si>
  <si>
    <t>Nucleus RadioPharma scored an additiona undisclosed investment - which  will help expand its development, supply and commercial manufacturing capabilities. The company is continuing to build its Rochester manufacturing facility which provides 6,500 square feet of laboratory and manufacturing and an additional 3,500 square feet of office space in Two Discovery Square building within Destination Medical Center's Discovery Square District near Mayo Clinic. Nucleus expects to employ up to 28 people within the first two years.</t>
  </si>
  <si>
    <t>https://www.bizjournals.com/twincities/news/2024/06/06/nucleus-radiopharmaceuticals-extension-round.html</t>
  </si>
  <si>
    <t>415 2nd Ave SW</t>
  </si>
  <si>
    <t>Simpli-Fi Automation Inc.</t>
  </si>
  <si>
    <t>Simpli-Fi Automation Inc. designs and produces a range of  integrated health and environmental monitoring sensors for the health care industry. The company is a Black-owned business. Simpli-Fi is looking to expand in St. Paul to create one of the few commercial carbon nanotube semiconductor nanofabrication facilities in the U.S. The total project cost is $12,286,993 and includes renovations of an existing building, machinery and equipment. The company expects to create 75 jobs. 
DEED Awards: MIF $1M, JCF $268K</t>
  </si>
  <si>
    <t>Electronics</t>
  </si>
  <si>
    <t>370 N. Wabasha Street</t>
  </si>
  <si>
    <t>MIF $1.0M, JCF $268K</t>
  </si>
  <si>
    <t>Abbott Northwestern Hospital (Allina Health)</t>
  </si>
  <si>
    <t>M.A. Mortenson Co. recently received a key permit for Allina Health's 10-story addition to Abbott Northwestern Hospital's campus in Minneapolis.
The construction work is valued at $596 million. The over 600,000-square-foot surgical and critical-care building will have 30 future-flexible operating rooms, four floors of technology-enabled patient rooms and additional space for future growth. Substantial completion of the project is expected by June of 2026.</t>
  </si>
  <si>
    <t>https://www.bizjournals.com/twincities/news/2024/06/12/abbott-northwestern-minneapolis-construction.html</t>
  </si>
  <si>
    <t>800 E. 28th St.</t>
  </si>
  <si>
    <t>Shippers Supply</t>
  </si>
  <si>
    <t>Shippers Supply Inc, a shipping and packaging distributor, signed a long-term lease for a nearly 124,000-square-foot headquarters at the  Golden Valley Business Center. Shippers will move to the space in October, which will house a showroom for automation equipment and office, warehouse, production and manufacturing space. The move helps the companyexpand and upgrade its space, better attract and retain talent, and stay close to its existing 90,000-square-foot headquarters in Hopkins, MN.</t>
  </si>
  <si>
    <t>HQ, MF, OF, WH</t>
  </si>
  <si>
    <t>Nondurable goods NAICS 424</t>
  </si>
  <si>
    <t>https://www.bizjournals.com/twincities/news/2024/06/13/golden-valley-business-real-estate-industrial.html</t>
  </si>
  <si>
    <t>6300 Golden Valley Rd</t>
  </si>
  <si>
    <t>Phase 2 Only - Tenant Remodel on 3rd Floor. City of Bloomington Construction permits</t>
  </si>
  <si>
    <t>Little Sombrero Salsa</t>
  </si>
  <si>
    <t>Little Sombrero Salsa is considering a new production facility in New Hope.  
The company plans to purchase equipment that would allow it to produce nearly 50 bottles of salsa per minute. The company expects a capital investment of $763,000 to prepare the New Hope facility. The expansion would create 31 to 40 full-time jobs within a two-year period, paying an average of $20 per hour.
DEED Award MIF $185K (8/2024)</t>
  </si>
  <si>
    <t>https://ccxmedia.org/news/salsa-company-considers-new-hope-production-facility/</t>
  </si>
  <si>
    <t> 3980 Quebec Ave. N., </t>
  </si>
  <si>
    <t>CentraCare is moving forward with a plan to expand its 128-acre St. Cloud campus. CentraCare will construct a 215,000-square-foot addition to its existing CentraCare Health Plaza building, an adjacent building and a multifamily residential building with up to 96 units. The addition, which will cost $228.8 million, will provide expanded capacity for ambulatory services. The residential housing includes space for students at the campus' new medical school that will begin in the fall of 2025.</t>
  </si>
  <si>
    <t>https://www.bizjournals.com/twincities/news/2024/06/27/centracare-st-cloud-health-care-real-estate.html</t>
  </si>
  <si>
    <t>1900 CentraCare Circle</t>
  </si>
  <si>
    <t>Apple Valley Foods</t>
  </si>
  <si>
    <t>Apple Valley Foods -- the U.S.-based affiliate of parent Apple Valley Foods based in Canada --  in Chaska, Minn., is a world class food manufacturer of specialty and artisan baked goods. Apple is expanding its production capacity in Austin, Minnesota. The expansion will cost $18 million and is wholly financed through Export Development Canada. The company will add 127 new jobs at the new facility. 
DEED JTIP award for traininng: $200K</t>
  </si>
  <si>
    <t>1118 Main St N</t>
  </si>
  <si>
    <t>JTIP ($200K)</t>
  </si>
  <si>
    <t>Harlan Bakeries (indiana), Apple Valley Foods (Canada)</t>
  </si>
  <si>
    <t>Indiana, Ontario</t>
  </si>
  <si>
    <t>2024-Q3</t>
  </si>
  <si>
    <t>Heliene’s expansion could bring 182 jobs to Rogers within two years. Canada-based Heliene, a designer and builder of solar modules, is interested in leasing Graco's former 227,000-square-foot building. The company has an existing facility in Mountain Iron. Heliene would lease the Rogers building. Total investment is expected to be $145M, including $16M in equipment and renovations in the facility. The business hopes to begin build-out of the space in September and be “fully operational by December to January.”</t>
  </si>
  <si>
    <t>https://finance-commerce.com/2024/07/solar-manufacturer-considers-vacant-building-in-rogers/</t>
  </si>
  <si>
    <t xml:space="preserve">13225 Brockton Lane </t>
  </si>
  <si>
    <t>MIF ($2.3M), JCF ($601,350)</t>
  </si>
  <si>
    <t>TurbinePROs</t>
  </si>
  <si>
    <t>The Opus Group has started construction on a new industrial facility in Dayton and has already secured a new tenant. The new 132,200-square-foot distribution and light manufacturing warehouse is called the Dayton Parkway Business Center. Construction on the new facility is expected to be complete in early 2025. TurbinePROs, which offers maintenance and other services on turbines, generators, pumps and compressors, will be a tenant. The company signed a lease for more than 87,000 square feet.</t>
  </si>
  <si>
    <t>https://www.bizjournals.com/twincities/news/2024/07/08/opus-real-estate-industrial-warehouse-minneapolis.html</t>
  </si>
  <si>
    <t>17600 Territorial Road</t>
  </si>
  <si>
    <t>Happy Halal (Clean Chickens)</t>
  </si>
  <si>
    <t>With a $1 million infusion, Greg Wierschke, who runs Elk River-based Clean Chickens and Co. with his wife, Rebecca. plans on establishing a halal goat meat slaughterhouse in Willmar, Minn. "We've learned there is a need for goat processing, especially halal [in Minnesota]." 
The U.S. Dept of Ag awarded him a $1,026,730 grant, which covers about 30% of building a halal processing center in Willmar. Construction is planned to begin in the fall.</t>
  </si>
  <si>
    <t>Meat</t>
  </si>
  <si>
    <t>https://www.startribune.com/halal-meat-processing-federal-grant-goat-lamb/600380320/?refresh=true</t>
  </si>
  <si>
    <t>500 32nd St. S.W</t>
  </si>
  <si>
    <t>When Daikin Applied started running out of room to grow in its 200,000-square-foot Owatonna manufacturing plant, the solution was hiding in plain sight.  On July 9, Daikin paid nearly $3.7 million in cash for a vacant, 66,432-square-foot building on 7.41 acres right next door, at 2100 Park Drive. The building was vacant since Climate by Design relocated to their new building in Owatonna in last winter. Daikin is a global producer of heating, ventilation, and air conditioning (HVAC) equipment.</t>
  </si>
  <si>
    <t>https://finance-commerce.com/2024/07/just-sold-daikin-applied-expands-in-owatonna/</t>
  </si>
  <si>
    <t>2100 Park Drive</t>
  </si>
  <si>
    <t>Stratasys is relocating its U.S. headquarters to Minnetonka. The 3D printer manufacturer will lease 164,000-sqft Class A building at 5995 Opus Parkway. "We are going to make some significant investments into that building. We're adding a heavy-duty freight elevator, for example, to the outside of that building so we can get our larger printers onto different floors throughout that space." 
Stratasys will start moving to the property in January 2025. "We plan to be adding jobs in the campus over the coming years."</t>
  </si>
  <si>
    <t>https://www.startribune.com/stratasys-unitedhealth-headquarter-minnetonka-eden-prairie/600380925/</t>
  </si>
  <si>
    <t xml:space="preserve"> 5995 Opus Parkway</t>
  </si>
  <si>
    <t>Histosonics</t>
  </si>
  <si>
    <t xml:space="preserve">Histosonics, a medical device company developing a device to kill cancerous tissues with sound waves, plans to almost double the size of its headquarters in Plymouth, Minnesota. HistoSonics currently leases 26,855 square feet at 16305 36th Ave. at the West Glen I complex and wants to expand into another 25,989 square feet. The medtech company will use the new space for storage, offices, labs, a warehouse, an education center, expanded production space and new employee amenities. </t>
  </si>
  <si>
    <t>MF, OF, RD, DW</t>
  </si>
  <si>
    <t>https://www.bizjournals.com/twincities/news/2024/07/16/histosonics-to-expand-plymouth-facility.html</t>
  </si>
  <si>
    <t>16305 36th Ave</t>
  </si>
  <si>
    <t>Hampton Companies</t>
  </si>
  <si>
    <t>Hampton Companies LLC proposes constructing a 4,500-square-foot office and warehouse building on the vacant parcel at 2694 Maplewood Drive North. The applicant operates a real estate and construction company in White Bear Lake, and this would be an additional location for the company. Their roofing and siding division would use the proposed building as office space, and a portion would be used for storage. Company plans were approved Aug. 2024.</t>
  </si>
  <si>
    <t>https://www.maplewoodmn.gov/2143/Construction-OfficeWarehouse---2694-Mapl</t>
  </si>
  <si>
    <t>City of Maplewood</t>
  </si>
  <si>
    <t>2694 Maplewood Dr N</t>
  </si>
  <si>
    <t xml:space="preserve">Amazon plans to build a 49,500-square-foot last-mile distribution facility, with a 150-stall parking lot, on a 20-acre site on Timberwood Drive, off Highway 210 on Baxter’s west side. The plans come with a potential 19,000-squarefoot expansion, bringing the total building size to 68,500 square feet. Construction should begin this fall. The facility is expected to be operational by the end of 2025. </t>
  </si>
  <si>
    <t>https://bemidjinow.com/amazon-to-build-distribution-center-in-baxter/</t>
  </si>
  <si>
    <t>Bemidji Now</t>
  </si>
  <si>
    <t>Holmes Murphy</t>
  </si>
  <si>
    <t xml:space="preserve">Holmes Murphy, an insurance brokerage firm, moved more than 100 employees from downtown Minneapolis to a larger office at St. Louis Park’s West End. Holmes took over nearly 35,000 square feet — the entire seventh floor — of 10 West End, moving from Capella Tower, where it had about 24,000 square feet. Holmes Murphy sought the new space to accommodate employee growth and to consolidate its workforce onto one level. After buildout, the new office offers more collaboration spaces, such as a training room. </t>
  </si>
  <si>
    <t>https://www.bizjournals.com/twincities/news/2024/07/22/insurance-st-louis-park-downtown-minneapolis.html</t>
  </si>
  <si>
    <t>1601 Utica Ave. S</t>
  </si>
  <si>
    <t>Waukee</t>
  </si>
  <si>
    <t>Iowa</t>
  </si>
  <si>
    <t>Rotation Engineering and Manufacturing Co.</t>
  </si>
  <si>
    <t>Rotation Engineering and Manufacturing Co. is expanding in Brooklyn Park. The metal stamping and manufacturing company produces mid‐volume and mid‐sized metal stampings and fabrications in a variety of industries. The proposed project includes a 26,800 square‐foot addition to allow for more machinery and equipment, and investing in new equipment. Total project cost is $3.8 million. Expansion is expected to create 22 new jobs. 
DEED AWARD SUMMARY: $295K JCF, $640k MIF</t>
  </si>
  <si>
    <t>https://www.brooklynpark.org/wp-content/uploads/2024/07/ccep072224rm.pdf</t>
  </si>
  <si>
    <t>City of Brooklyn Park</t>
  </si>
  <si>
    <t>8800 Xylon Ave N</t>
  </si>
  <si>
    <t>JCF ($295.7K), MIF ($640K)</t>
  </si>
  <si>
    <t>Advanced Machine Guarding Solutions</t>
  </si>
  <si>
    <t>Advanced Machine Guarding Solutions produces safety steel wire mesh guarding for the automation industry/ The company will move into a new building designed to accommodate its growth.  Hibbing Econ. Dev. Authority (HEDA) is backing construction of a $9 million, 34,000-square-foot manufacturing facility on a city-owned lot in Hibbing and will lease it back to the company. The company expects to move in spring or summer 2025. Will create 12 new jobs by 2025.
Awards: IRRRB $4.5M, MN 21st Century Fund $4.5M, also $1.25M for equipment</t>
  </si>
  <si>
    <t>https://www.businessnorth.com/businessnorth_exclusives/advanced-machine-guarding-solutions-expands-into-a-new-hibbing-building/article_0a3a8df4-49c7-11ef-bc05-bb237d5ba13f.html</t>
  </si>
  <si>
    <t>1122 East 13th Street</t>
  </si>
  <si>
    <t>IRRRB $4.5M, DEED $4.5M, $1.25M DEED/IRRRB/Park Bank</t>
  </si>
  <si>
    <t>Two Rivers Enterprises Inc.</t>
  </si>
  <si>
    <t>Holdingford</t>
  </si>
  <si>
    <t>Two Rivers Enterprises  is expanding in Holdingford. Two Rivers Enterprises produces custom stainless steel equipment for food processing and food service industries. Total cost of the project is $1.9 million which covers renovations of an existing building and purchase of machinery and equipment. The company expects to create 6 jobs.</t>
  </si>
  <si>
    <t>https://zeta.creativecirclecdn.com/starpub/files/20240723-144802-d9d-2024-07-24_legals.pdf</t>
  </si>
  <si>
    <t>The Star Post (Creative Circle Media Solutions), DEED</t>
  </si>
  <si>
    <t>490 River St W,</t>
  </si>
  <si>
    <t>JCF ($120K), MIF ($200K)</t>
  </si>
  <si>
    <t>A longtime Coon Rapids business, idc-Automatic, will more than double in size. Idc plans to construct two additions totaling 26,570 square feet to its existing 21,740 square-foot building at 360 Coon Rapids Blvd. The manufacturer  makes high-performance garage doors that are sold in the Twin Cities and surrounding area. The larger of the two additions will add warehouse space, as well as manufacturing space, while the second will comprise five loading docks. Update: Construction permit issued in 2/2025.</t>
  </si>
  <si>
    <t>https://www.hometownsource.com/abc_newspapers/community/coonrapids/expansion-will-more-than-double-size-of-coon-rapids-business/article_e8b703c0-4533-11ef-b88a-67eab4b0bf91.html</t>
  </si>
  <si>
    <t>360 Coon Rapids Blvd NW</t>
  </si>
  <si>
    <t>The Social Lights</t>
  </si>
  <si>
    <t>Minneapoiis</t>
  </si>
  <si>
    <t xml:space="preserve">Social media marketing agency The Social Lights will move to an 11,000-square-foot, first-floor space in the Steelman Exchange building. A majority of the company's 65 employees are based in the metro. The move was prompted by The Social Lights’ lease being up in the Nordic Tower  and growth in the company. The lease begins Jan. 1, 2025. </t>
  </si>
  <si>
    <t>Business services</t>
  </si>
  <si>
    <t>Professional services</t>
  </si>
  <si>
    <t>https://www.bizjournals.com/twincities/news/2024/07/25/jpmorgan-chase-marketing-north-loop-minneapolis.html</t>
  </si>
  <si>
    <t>Minneapolis-Saint Paul Business Journal</t>
  </si>
  <si>
    <t>241 N. Fifth Ave.</t>
  </si>
  <si>
    <t>Monumental Sales (div. of St Cloud Industrial Products)</t>
  </si>
  <si>
    <t>Monumental Sales, a division of St. Cloud Industrial Products, produces  granite memorial manufacturing. the parent company plans to acquire an existing 10,000-square-foot building, construct a 25,000-square-foot addition, make improvements to the existing building and build a 2,500- square-foot storage building. The project will retain 63 existing jobs and create up to 11 new full-time jobs. Total project cost is $9.5 million.
DEED AWARD: $175k JCF
Nov. 2024: Broke ground
March 2025: City of St Cloud building permit issued with valuation of $8.4 million.</t>
  </si>
  <si>
    <t>Non Metallic Minerals</t>
  </si>
  <si>
    <t>https://www.stcloudlive.com/business/expansion-planned-in-st-cloud-airport-business-park</t>
  </si>
  <si>
    <t>St Cloud Live</t>
  </si>
  <si>
    <t>Burns &amp; McDonnell</t>
  </si>
  <si>
    <t>Engineering, construction and architecture firm Burns &amp; McDonnell will move to a new, larger 67,000-square-foot office space near Normandale Lake in Bloomington. The Kansas City, Missouri-based, employee-owned company signed a lease and expects to move in 2025. The space will be customized to spur collaboration. Burns &amp; McDonnell has over 230 employee/owners at the current Bloomington location and expects about 275 staff in the new office. Construction permit value: $3.6 million</t>
  </si>
  <si>
    <t>https://www.bizjournals.com/twincities/news/2024/08/06/bloomington-office-engineering-construction-space.html</t>
  </si>
  <si>
    <t>5600 W. American Blvd</t>
  </si>
  <si>
    <t>ESG Architecture &amp; Design</t>
  </si>
  <si>
    <t>ESG Architecture &amp; Design’s new headquarters is in North Loop Green. The buildout of the company’s new 24,000-square-foot space on the fourth floor, which began in late 2023, was completed this summer. The company moved from the Depot Office Center in the Mill District.</t>
  </si>
  <si>
    <t>https://www.bizjournals.com/twincities/news/2024/08/06/minneapolis-north-loop-architecture-office-twins.html</t>
  </si>
  <si>
    <t>350 N 5th St Suite 400</t>
  </si>
  <si>
    <t>Medical 21</t>
  </si>
  <si>
    <t>Medical 21, the latest medical device venture from Manny Villafaña, recently raised $2.5 million as it pursues a new type of artificial artery for bypass surgery. Villafaña is one of the Twin Cities' most successful med-tech entrepreneurs. the next step for Medical 21 is raising $10 million for human clinical trials.  Earlier this year, the company moved to a 7,500-square-foot manufacturing facility in Plymouth. The custom built space has areas for research and testing, warehousing and offices.</t>
  </si>
  <si>
    <t>https://www.bizjournals.com/twincities/inno/stories/news/2024/08/15/medical-21-raises-25-million.html</t>
  </si>
  <si>
    <t>3700 Annapolis Lane</t>
  </si>
  <si>
    <t xml:space="preserve">Two years after opening a 520,000-square-foot sortation center in Woodbury, Amazon is planning to build a second warehouse facility in the east-metro suburb. The new center is commonly referred to as a “last-mile facility.” Amazon plans to build a 225,000-square-foot distribution center which will open in the fall of 2025 and is expected to employ 180 people. </t>
  </si>
  <si>
    <t>https://www.twincities.com/2024/08/15/amazon-to-build-second-warehouse-in-woodbury/</t>
  </si>
  <si>
    <t>Hudson Road and Settlers Ridge Parkway.</t>
  </si>
  <si>
    <t>United Therapeutics</t>
  </si>
  <si>
    <t>United Therapeutics Corp. will invest about $100 million into a specialized research farm in Stewartville’s Schumann Business Park, located about 10 miles south of Rochester. The facility will be the second of its kind for United Therapeutics, the biotech company that first engineered organs for the first-ever pig-to-human heart and kidney transplants. The 70,000-square-foot facility will model its current facility in Virginia’s Blue Ridge Mountains. The first pigs are expected to arrive once construction is completed in 2027. DEED BDPI $1.055 million to support construction of business park</t>
  </si>
  <si>
    <t>https://www.startribune.com/united-therapeutics-to-build-100m-pig-to-human-organ-research-center-in-southeast-minnesota/601111066</t>
  </si>
  <si>
    <t>Minnesota Star Tribune</t>
  </si>
  <si>
    <t>US Highway 63 and Schumann Drive</t>
  </si>
  <si>
    <t>Foster Electric</t>
  </si>
  <si>
    <t>Foster Electric has outgrown its current Rochester office and recently paid $1.2 million to buy a larger base of operations in northeast Rochester. Foster, a longtime full-service electrical contractor, has more than tripled in size since 2016 and now has 70 electricians working in the field and an office staff of six. After some remodeling, they hope to move to their new 13,000 space by January 2025.</t>
  </si>
  <si>
    <t>https://infoweb.newsbank.com/apps/news/document-view?p=NewsBank&amp;docref=news/19B0423500658830&amp;f=basic</t>
  </si>
  <si>
    <t xml:space="preserve">3201 East River Road NE </t>
  </si>
  <si>
    <t>Pella Windows &amp; Doors (Pella Northland)</t>
  </si>
  <si>
    <t>A Minnesota-based distributor of windows and doors for Pella Corp. has consolidated into an 85,000-square-foot space in Brooklyn Park. Pella Northland, an independently owned company that distributes Pella products in the midwest, uses 65,000 square feet of the space for distribution and 20,000 square feet for office and showroom space. The move consolidates the firm's two former office and warehouse locations in Plymouth and New Hope.</t>
  </si>
  <si>
    <t>https://www.bizjournals.com/twincities/news/2024/08/19/pella-windows-brooklyn-park-real-estate-industrial.html</t>
  </si>
  <si>
    <t>9100 N. Wyoming Ave.,</t>
  </si>
  <si>
    <t>Crystal Cabinet Works</t>
  </si>
  <si>
    <t>Crystal Cabinet Works is a family-owned business that manufactures custom cabinets in central Minnesota.  Company now has 524 employees in Minnesota. They plan to expand production capacity by 30% by constructing a 32,500 square foot warehouse addition to the north end of their current building over the next 3-5 years. This will add 50 to 60 new jobs. In addition, they will invest in an automated paint line and robotic system, and specialized training. 
DEED Award: JTIP grant $176K</t>
  </si>
  <si>
    <t>https://onboardprodpublic.blob.core.windows.net/uwhf7lry58zyzh8z1fetazkn3kwyhexsuhtk0isfke0a/XUpfe5XYfJrG3GIu9mY8JRoqqqLpg0fXTBQIgZL2SY0A/Crystal%20Cabinets%20Site%20Plan%20Review%20-%20Addition%20To%20Building.pdf</t>
  </si>
  <si>
    <t>City of Princeton, DEED</t>
  </si>
  <si>
    <t>1100 Crystal Drive</t>
  </si>
  <si>
    <t>Hunt Electric</t>
  </si>
  <si>
    <t>An affiliate of Hunt Electric purchased a nearly 300,000-square-foot flex property in Eagan for $44 million. The property at 1000 Blue Gentian Road will become Hunt's new headquarters and provides the company more space, income from other tenants in the building, and potential space to expand into in the future.</t>
  </si>
  <si>
    <t>https://www.bizjournals.com/twincities/news/2024/08/27/spectrum-commerce-hunt-electric.html</t>
  </si>
  <si>
    <t>1000 Blue Gentian Road</t>
  </si>
  <si>
    <t>GDB International</t>
  </si>
  <si>
    <t>New Jersey-based GDB International is taking over the troubled $30 million Myplas plastic recycling plant that opened to great fanfare in Rogers in 2023 and abruptly shuttered not long after. The company’s subsidiary, GDB Circular, will run the plant. The new owner did not share a planned re-opening date. The company said it has made “significant new investments” to the plant" and brought in “an experienced management team.”</t>
  </si>
  <si>
    <t>https://www.wastedive.com/news/myplas-reopening-new-leadership-gdb-international/726060/</t>
  </si>
  <si>
    <t>Waste Dive</t>
  </si>
  <si>
    <t>19850 S. Diamond Lake Rd</t>
  </si>
  <si>
    <t>Lower Sioux Industrial Hemp</t>
  </si>
  <si>
    <t>Morton</t>
  </si>
  <si>
    <t>Redwood</t>
  </si>
  <si>
    <t>The Lower Sioux Community opened a $2.3 million facility to process industrial hemp in Morton on Thursday. The 10,000-square-foot facility will process hemp grown by farmers on the reservation and turn the woody stalks into "hempcrete" — the natural, sustainable home insulation material. The hemp campus facility was made possible in part by a $1.5 million grant from the Targeted Community Capital program of DEED. Proposed phase two of the project would add 10,000 more square feet to the facility.</t>
  </si>
  <si>
    <t>https://www.startribune.com/hemp-to-build-homes-lower-sioux-opens-hempcrete-processing-facility/601139017</t>
  </si>
  <si>
    <t>39527 Reservation Hwy 1</t>
  </si>
  <si>
    <t xml:space="preserve">DEED Targeted Community Capital </t>
  </si>
  <si>
    <t>Mesabi Metallics</t>
  </si>
  <si>
    <t xml:space="preserve">Mesabi Metallics Company LLC announces an ambitious expansion of its recruitment efforts this fall, as the company eyes completion of its state-of-the-art, 7-million metric ton per year taconite mining and Direct Reduction grade pellet plant, which is on track to start commercial operations in the first quarter of 2026. As of this summer, Mesabi Metallics has just over 30 employees. By the end of 2024, Mesabi's goal is to have 75 to 100 employees. </t>
  </si>
  <si>
    <t>Mining</t>
  </si>
  <si>
    <t>https://infoweb.newsbank.com/apps/news/document-view?p=NewsBank&amp;docref=news/19B781AC970D7D40&amp;f=basic</t>
  </si>
  <si>
    <t>Grand Rapids Herald Review (News Bank)</t>
  </si>
  <si>
    <t>Northeast Minneapolis-based magnet maker Niron Magnetics is expanding into central Minnesota. The City of Sartell reached a purchase agreement with the company for 79 acres of public land where Niron plans to build a 190,000-square foot manufacturing facility that’s expected to employ at least 175 people. Niron evaluated over 75 sites before landing in Sartell. 
2025 Update on govt assistance: $52M in federal tax credits (IRA), $2M BDPI to City of Sartell for road infrastructure, $10M MN Forward Fund</t>
  </si>
  <si>
    <t>https://tcbmag.com/niron-magnetics-to-build-new-manufacturing-plant-in-sartell/</t>
  </si>
  <si>
    <t>Fed Tax Credit Advanced Energy Project program $52M. BDPI $2M, MFF $10M, MJSP $393,528</t>
  </si>
  <si>
    <t>Employer health care-benefits firm Gravie is expanding its presence in the Twin Cities metro after leasing space for a new operations center in Bloomington. The operations center is set to open later this month. Gravie subleased 14,000 square feet in the 8400 Normandale Tower. 
Gravie helps small- and medium-sized companies provide health insurance for their employees. The operations center will mainly be for Gravie's customer care support team, Gravie Care, and will employ about 50 to 75 people.</t>
  </si>
  <si>
    <t>https://www.bizjournals.com/twincities/news/2024/09/09/gravie-new-operations-center-bloomington.html</t>
  </si>
  <si>
    <t>5600 W 84th St</t>
  </si>
  <si>
    <t>Flint Hills Resources (with Delta Airlines)</t>
  </si>
  <si>
    <t>Delta Air Lines and Flint Hills Resources plan to build a sustainable fuel blending facility in Rosemount at Flint's Pine Bend refinery. The facility is anticipated to be operational in 2025 and will be the first of its kind in the Midwest. The new facility is expected to produce around 60 million gallons of blended sustainable aviation fuel (SAF). The blended fuel will be delivered to MSP Airport via Flint Hills’ existing pipeline.</t>
  </si>
  <si>
    <t>https://www.bizjournals.com/twincities/news/2024/09/10/delta-to-invest-in-rosemount-jet-fuel-facility.html</t>
  </si>
  <si>
    <t>Salesforce consulting firm Digital Mass has moved into an expanded North Loop headquarters, a stone’s throw away from its previous space also in Minneapolis. The technology firm relocated to more than 10,000 square feet in the Colonial Warehouse building, Digital Mass moved to facilitate growth for the company, both in revenue and hiring, The company has about 40 employees, and saw revenue growth of 193% over the past three years.</t>
  </si>
  <si>
    <t>IT Consulting</t>
  </si>
  <si>
    <t>https://www.bizjournals.com/twincities/news/2024/09/10/technology-firm-north-loop-minneapolis-office-hq.html</t>
  </si>
  <si>
    <t>212 N. Third Ave</t>
  </si>
  <si>
    <t>Gevo</t>
  </si>
  <si>
    <t>The Federal Aviation Administration provided a $16.8 million Inflation Reduction Act grant to convert Gevo's existing ethanol and isobutanol fuel facility in Luverne to a fully integrated alcohol-to-jet facility able to produce SAF, marking the first conversion of Minnesota crops to SAF within the state. The facility is owned and operated by Englewood, Colorado-based biofuels company Gevo.</t>
  </si>
  <si>
    <t>St. Cloud Window LLC</t>
  </si>
  <si>
    <t>St. Cloud Window is expanding at their current location in Sauk  Rapids. The company designs and manufactures a complete line of  aluminum and historic replica windows, doors and systems for commercial buildings. Total cost of the project is $3.65 million, includes physical expansion of their building and $1.4 million for purchasing new machinery and equipment. The company expects to create 19 jobs. 
DEED AWARD SUMMARY: MIF $150K, $175K JCF</t>
  </si>
  <si>
    <t>https://zeta.creativecirclecdn.com/starpub/files/20240705-100007-8cf-2024-07-06.pdf</t>
  </si>
  <si>
    <t>Sauk Rapids Herald (Creative Circle Media Solutions) , DEED</t>
  </si>
  <si>
    <t xml:space="preserve"> 390 Industrial Blvd., </t>
  </si>
  <si>
    <t>Pramana</t>
  </si>
  <si>
    <t>Pramana , a Massachusetts-based digital pathology company that works with Mayo Clinic, is building out its new North American distribution and manufacturing center in Rochester. Construction is underway for a 5,000-square-foot space, estimated to cost more than $260,000, on the former campus of IBM. The Rochester center will serve as Pramana's key location for a variety of employee roles, as well as a Center of Excellence for training. Construction is expected to be completed in November.</t>
  </si>
  <si>
    <t>https://infoweb.newsbank.com/apps/news/document-view?p=NewsBank&amp;docref=news/19BA2557013A3D50&amp;f=basic</t>
  </si>
  <si>
    <t>Post Bulletin (News Bank)</t>
  </si>
  <si>
    <t>2900 37th St NW,</t>
  </si>
  <si>
    <t>GN Resound</t>
  </si>
  <si>
    <t>In 2025 GN will increase its space by 79% by moving its North American HQ from Bloomington to Shakopee. The move is driven by sales growth. GN has signed a 12-year lease for 218,437 square feet at the building formerly occupied by Shutterfly. GN products include the ReSound hearing aid. Copenhagen-based GN employs about 550 people in Minnesota. Construction is underway to redesign and remodel the Shakopee building to develop a state-of-the-art hearing aid manufacturing, repair and shipping facility, to be completed by the end of 2025.</t>
  </si>
  <si>
    <t>https://www.startribune.com/gn-resound-hearing-aid-facility-shutterfly-building-shakopee/601148449</t>
  </si>
  <si>
    <t>5005 Dean Lakes Blvd</t>
  </si>
  <si>
    <t xml:space="preserve">Northside Economic Opportunity Network (NEON) </t>
  </si>
  <si>
    <t>The Northside Economic Opportunity Network (NEON) will break ground next month on a long awaited $21 million commercial kitchen project that will serve as a business incubator by providing badly needed food prep space to hundreds of small area businesses such as food trucks and other food operations. The 24,000-square-foot NEON Collective Kitchens project will feature eight massive kitchens, storage, a food court area, plus classrooms and offices on the second floor, as well as a retail section.</t>
  </si>
  <si>
    <t>https://www.startribune.com/north-minneapolis-projects-commercial-kitchen-neon-mortenson/601150314</t>
  </si>
  <si>
    <t>1007 W Broadway</t>
  </si>
  <si>
    <t>Lakes Community Cooperative</t>
  </si>
  <si>
    <t xml:space="preserve">Lakes Community Cooperative, a small meat-processing facility in Perham which processes multiple species of livestock, earned a federal grant of $533,000 to double its capacity. This will help consumers by lowering their costs thanks to increased competition in a heavily concentrated meat industry. </t>
  </si>
  <si>
    <t>https://www.startribune.com/lakes-community-cooperative-cargil-meat-packing-process-federal-grant/601151608</t>
  </si>
  <si>
    <t>457 3rd Ave SE #1</t>
  </si>
  <si>
    <t>Solventum</t>
  </si>
  <si>
    <t>Solventum, the massive health care spin-off from Maplewood-based 3M, may relocate from Maplewood and move into the former Blue Cross Blue Shield campus in Eagan. Upwards of 1,100 workers would be affected. The company anticipates 600-800 employees on-site daily.  Solventum produces medical goods such as medical equipment, sterilization devices, wound dressings and medical tapes. Nearly 2,000 jobs will be retained in Minnesota. The $209M project includes property acquisition, site upgrades and equipment purchases. Update: Opened in April 2026.
DEED Awards: $11M MIF, $1.78M JCF</t>
  </si>
  <si>
    <t>https://www.twincities.com/2024/09/27/3m-health-care-spin-off-solventum-eyes-former-blue-cross-blue-shield-site-in-eagan-for-future-hub/</t>
  </si>
  <si>
    <t>1750 Yankee Doodle Road</t>
  </si>
  <si>
    <t>MIF $11M, JCF $1.78M</t>
  </si>
  <si>
    <t>Philips Image Guided Therapy</t>
  </si>
  <si>
    <t>Philips Image Guided Therapy Corp., the med-tech division of Philips (headquartered in the Netherlands) will expand of its facility in Plymouth. Philips will invest $31 million, which would also create more than 150 jobs over the next four years. Philips intends to create a Center of Excellence for Medical Technology and Global Customer MedTech Training Center which would include manufacturing, R&amp;D and training space. DEED Awards: MIF $2M, JCF $1.54M</t>
  </si>
  <si>
    <t>https://finance-commerce.com/2024/09/med-tech-company-proposes-31m-investment-in-plymouth/</t>
  </si>
  <si>
    <t>5905 Nathan Ln. N.</t>
  </si>
  <si>
    <t>MIF $2M, JCF $1.54M, MJSP $400K</t>
  </si>
  <si>
    <t>2024-Q4</t>
  </si>
  <si>
    <t>Mill City Roasters</t>
  </si>
  <si>
    <t>Mill City Roasters, a maker of coffee roasting equipment and a seller of bulk coffee, will shift some of its production from China to the U.S. as it moves into new headquarters in northeast Minneapolis. The company would move portions of its fabrication facility, located in Shenzhen, China, to Minneapolis. The new headquarters will accommodate Mill City Roaster's operations, support and design teams. The company will relocate from its current Minneapolis location by the end of December.</t>
  </si>
  <si>
    <t>https://www.bizjournals.com/twincities/news/2024/10/02/mill-city-roasters-expands-to-northeast-facility.html</t>
  </si>
  <si>
    <t>401 Harding St NE</t>
  </si>
  <si>
    <t>Machine Solutions</t>
  </si>
  <si>
    <t>Machine Solutions Inc., the leading provider of advanced equipment and services for the catheter manufacturing market, has opened a new applications lab and showroom in Brooklyn Park. The new facility provides access to top-of-the-line braiding, coiling, stranding and lamination equipment. Engineers can use Machine Solutions’ Brooklyn Park lab to design and develop catheter components using state-of-the-art equipment from all Machine Solutions brands,</t>
  </si>
  <si>
    <t>RD, Other</t>
  </si>
  <si>
    <t>https://www.expansionsolutionsmagazine.com/machine-solutions-inc-expands-in-minnesota/</t>
  </si>
  <si>
    <t>Expansion Solutions Magazine</t>
  </si>
  <si>
    <t>9350 W. Broadway, #190</t>
  </si>
  <si>
    <t>The captain of industrial powerhouse 3M says the manufacturer is charting the right course after a summer of strong profits.  “We’re spending a lot of time thinking about where we put our precious $1 billion in R&amp;D,” CEO Bill Brown said.... The company is hiring more engineers and putting R&amp;D dollars back into new product development to make good on Brown’s pledge to push more innovation onto shelves. The company is hiring 50 new engineers this fall to make that happen.</t>
  </si>
  <si>
    <t>https://www.startribune.com/3m-q3-2024-earnings-beat-forecast-raised-maplewood-ceo-bill-brown/601166062</t>
  </si>
  <si>
    <t>2350 Minnehaha Ave E</t>
  </si>
  <si>
    <t>States Manufacturing (part of Forgent Power Solutions as of Aug. 2025)</t>
  </si>
  <si>
    <t>States Manufacturing, a custom electrical and metal manufacturer, plans to take over 500,000 square feet of industrial space in a newly built development in Dayton, MN. The company plans to occupy half of the 1 million-sqft industrial building known as The Cubes at French Lake.  The $23 investments in build out and equipment expenses are expected to bring 340 new jobs to the city of Dayton by 2027.  
DEED Awards: MIF $1.96M JCF $840K</t>
  </si>
  <si>
    <t>https://www.bizjournals.com/twincities/news/2024/10/29/states-manufacturing-million-dayton.html</t>
  </si>
  <si>
    <t>11500 Lawndale Lane</t>
  </si>
  <si>
    <t>MIF ($1.96M), JCF ($840K)</t>
  </si>
  <si>
    <t>Revolve Labs</t>
  </si>
  <si>
    <t>Glencoe</t>
  </si>
  <si>
    <t>Revolve Labs, the Colorado-based company that operates the crypto-mining operation in Glencoe, plans to build a new site farther away from homes, with the possibility of removing the noisy machines that have led to numerous complaints. The move would be part of a “potential site design and operation change” that could include a $40 million to $60 million expansion of the company’s facilities and would employ 10 people,. The new facility will bring in jobs and additional revenue to Glencoe.</t>
  </si>
  <si>
    <t>Data Center</t>
  </si>
  <si>
    <t>https://www.startribune.com/company-with-glencoe-crypto-mining-operation-has-plans-to-move-away-from-residents-transition-to-ai/601172123</t>
  </si>
  <si>
    <t>101 8th St W</t>
  </si>
  <si>
    <t>Gamer Packaging</t>
  </si>
  <si>
    <t>Gamer Packaging, a packaging distributor for the beverage, food and pharmaceutical industries will move its headquarters in the second half of 2026. The packaging group is making a move to Fifth Street Towers in Minneapolis and will occupy a 20,192-square-foot office. The office is currently being designed to become Gamer’s headquarters.</t>
  </si>
  <si>
    <t>https://finance-commerce.com/2024/10/gamer-packaging-signs-at-fifth-street-towers/</t>
  </si>
  <si>
    <t>100 S. Fifth St</t>
  </si>
  <si>
    <t>Design Ready Controls</t>
  </si>
  <si>
    <t xml:space="preserve">Design Ready Controls (DRC) builds electrical control panels used in many applications and industries. The company recently expanded into building and maintenance of EV charging components. To be successful with this new line, DRC needs to hire new workers and upgrade production skills of 43 workers (incl. 10 new). DRC is partnering with Riverland Community College to develop four training modules requiring 48-58 hours of training.  Traininng program runs Oct 2024-Oct 2026.
MJSP Grant of $110K </t>
  </si>
  <si>
    <t>9325 Winnetka Ave N</t>
  </si>
  <si>
    <t>DG Fuels</t>
  </si>
  <si>
    <t>DG Fuels, a Washington D.C.-based energy company, announced it’s putting a $5 billion sustainable aviation fuel (SAF) plant and bringing 650 jobs to Moorhead.
The facility, which expects to start production in 2030, will convert agriculture and timber waste into jet fuel, and will produce 193 million gallons of SAF per year. The plant will take four years to construct and is expected the investment will produce $50 billion in economic activity for the state over the next three decades.</t>
  </si>
  <si>
    <t>https://www.startribune.com/moorhead-lands-5b-sustainable-jet-fuel-plant-and-its-650-jobs/601174503</t>
  </si>
  <si>
    <t>Green Acres Milling</t>
  </si>
  <si>
    <t>Green Acres Milling continues construction on its new oat processing operation in Albert Lea, a project three years in the making. "Green Acres Milling is a group of about 130 farmers that have pooled together to build a mill here in Albert Lea to move ourselves down the supply chain to get beyond being commodity producers to growing food that people eat," he said.
When completed, the facility will take raw oats and clean them, dehull them and then cut them into oatmeal, oat flakes and oat flour. Green Acres Milling is expected to produce 57 million pounds of groats annually — or the equivalent of 40,000 acres worth of oats, the company stated previously. He said the company has also started the hiring process for when the facility opens for production. There will eventually be about 30 full-time employees, ranging from warehouse staff and office staff to quality control production and other roles, he said.</t>
  </si>
  <si>
    <t>https://www.cityofalbertlea.org/welcome-to-green-acres-milling/</t>
  </si>
  <si>
    <t>306 E 14th St</t>
  </si>
  <si>
    <t>TIF ($741,600), USDA ($1.5M)</t>
  </si>
  <si>
    <t> Latimer,</t>
  </si>
  <si>
    <t>Heritage Millwork</t>
  </si>
  <si>
    <t>Construction on the new Heritage Millwork headquarters started in August, and the buildout is expected to be completed early in 2025. The headquarter in Elk River will consolidate the three other properties (including two in Anoka) that Heritage uses for its production facilities into one location. Heritage will start moving in equipment in late December. The project will cost $13 million.  The project will retain, relocate or create 85 jobs in Elk River’s city limits.</t>
  </si>
  <si>
    <t>HQ, MF, DW</t>
  </si>
  <si>
    <t xml:space="preserve">Wood </t>
  </si>
  <si>
    <t>https://finance-commerce.com/2024/11/new-heritage-millwork-hq-in-elk-river-nears-finish/</t>
  </si>
  <si>
    <t>16767 Gateway Rd NW</t>
  </si>
  <si>
    <t>Geringhoff</t>
  </si>
  <si>
    <t>Saint Cloud</t>
  </si>
  <si>
    <t>Commercial Building permit for 3405 ENERGY DR, ST CLOUD, MN 56304 which is the Geringhoff Distribution facility (per Google). Description: Build 40,500 sg. ft. single story addition to the existing building. Construction to be precast walls with structural steel. Interior renovation of the existing includes larger warehouse area, parts office and new restrooms. (St Cloud Building Permit Report, November 2024)</t>
  </si>
  <si>
    <t>https://www.ci.stcloud.mn.us/DocumentCenter/View/28473/November-2024</t>
  </si>
  <si>
    <t>City of St Cloud Building Permit Reports</t>
  </si>
  <si>
    <t>3405 Energy Dr</t>
  </si>
  <si>
    <t>Jennie-O Turkey, a subsidiary of Hormel Foods Corp., recently broke ground on a $30 million expansion project that will add 20,000 square feet to its Willmar facility. The expansion modernizes operations while streamlining processes and improving efficiencies. Construction is underway and expected to be complete in late 2025 or early 2026.</t>
  </si>
  <si>
    <t>https://www.meatpoultry.com/articles/31075-jennie-o-starts-work-on-expansion-to-minnesota-plant</t>
  </si>
  <si>
    <t>Meat = Poultry</t>
  </si>
  <si>
    <t>2505 Willmar Avenue SW</t>
  </si>
  <si>
    <t>Catallia Mexican Foods</t>
  </si>
  <si>
    <t>Catallia Mexican Foods, a key supplier of tortillas for McDonald's, is expanding its Eagan campus by purchasing a 72,000 sqft warehouse for $6.1 million, and where it's been a tenant for the past few years. The building is just across the street from the company’s existing production campus. Catallia is a BIPOC-owned business. Catallia Mexican Foods has about 250 employees and plans to add more production space and perhaps more freezer space in a year.</t>
  </si>
  <si>
    <t>https://www.bizjournals.com/twincities/news/2024/11/15/catallia-mexican-foods-eagan.html</t>
  </si>
  <si>
    <t>2955 Lone Oak Circle</t>
  </si>
  <si>
    <t>BTD</t>
  </si>
  <si>
    <t>Detroit Lakes</t>
  </si>
  <si>
    <t xml:space="preserve">BTD does metal fabrication for about 300 manufacturers and develops special robotic tools used in the production process. Near the original BTD building in the Detroit Lakes industrial park sit three connected steel-frame buildings. One of the buildings has been expanded by about 60%, or 6,600 sqft, and when finished in two months, it will be the expanded home of the BTD automation department. “Our current research and development team is here, and we do the majority of work at this site.” </t>
  </si>
  <si>
    <t>https://www.inforum.com/news/local/btd-expansion-in-detroit-lakes-focuses-on-research-development-and-automation</t>
  </si>
  <si>
    <t>Inforum</t>
  </si>
  <si>
    <t>1111 13th Ave SE</t>
  </si>
  <si>
    <t>Kipsu</t>
  </si>
  <si>
    <t>Software firm Kipsu Inc. has signed a new lease next door to its existing headquarters in the Warehouse District of downtown Minneapolis. Kipsu will move into an 38,000-square-foot office space in January. The move is an expansion. About 120 company employees will occupy the entire 7thth floor of Butler Square. Kipsu develops real-time engagement products for customer service industries,  live web chat and other social messaging tools for a range of industries.</t>
  </si>
  <si>
    <t>https://www.bizjournals.com/twincities/news/2024/11/20/software-company-kipsu-warehouse-minneapolis-move.html</t>
  </si>
  <si>
    <t>100 Sixth St. N.</t>
  </si>
  <si>
    <t>Archer Datacenters SPE2</t>
  </si>
  <si>
    <t>Archer Datacenters SPE2 LLC of Chappaqua, New York, paid $4.5 million for the 87.6-acre property at 15339 Acorn Trail. The concept for the site, subject to change, plans for a “footprint of up to 500,000 square feet acros fors multiple potential data center buildings, and up to 120MW of power.” A proposed site plan posted on the Archer Datacenters website reveals plans for six data center buildings, a substation, and stormwater management areas. The site is about 41 miles from the MSP Airport.</t>
  </si>
  <si>
    <t>https://finance-commerce.com/2024/11/data-center-site-in-faribault-fetches-4-5m/</t>
  </si>
  <si>
    <t>15339 Acorn Trail</t>
  </si>
  <si>
    <t>Tract</t>
  </si>
  <si>
    <t>Farmington is on its way to being the home of a sprawling $5 billion data center park. Tract, a data center development company, plans to build the Farmington Technology Park on 340 acres. The site plan includes up to 12 data center buildings spanning more than 2.5 million square feet and two administrative buildings across two campus site locations. The full buildout of the data center park is expected to take five to 10 years to complete and they anticipate site work starting in 2026.</t>
  </si>
  <si>
    <t>https://www.twincities.com/2024/12/01/farmington-data-center-park-advances-objections/</t>
  </si>
  <si>
    <t>St Paul Pioneer Press</t>
  </si>
  <si>
    <t>2830 W. 220th St.</t>
  </si>
  <si>
    <t>Cytotheryx</t>
  </si>
  <si>
    <t>Cytotheryx, a growing Rochester biotech company, plans to move into the former Waters Medical Systems facility, which already has a state-of-the-art clean room and lab space, to house its lab and production expansion. Cytotheryx develops therapies to treat liver disease using genetically engineered pigs called "proprietary bio-incubators" to make human liver cells. Cytotheryx will lease the facility in a $2.05M deal, and will invest $410K in renovations and $828K in equipment.
Cytotheryx plans to add 22 new full-time jobs to its current staff of 12 within three years. 
DEED MIF: $325K, JCF $140K</t>
  </si>
  <si>
    <t>https://infoweb.newsbank.com/apps/news/document-view?p=NewsBank&amp;docref=news/19D486DBAD6258E0&amp;f=basic</t>
  </si>
  <si>
    <t>2112 15th St NW</t>
  </si>
  <si>
    <t>MIF $325K, JCF $140K</t>
  </si>
  <si>
    <t>Semiconductor manufacturer SkyWater Technology will receive up to $16 million in federal funding from the CHIPS and Science Act to upgrade its Bloomington plant. SkyWater will use $127 million, including $19 million from the MN Forward Fund, through the next five years to improve its infrastructure and cybersecurity systems, among other upgrades. The investment will increase production capacity by 30% and create about 70 jobs. 
The funding will complement more than $320 million in ongoing facility and equipment upgrades planned through 2026.</t>
  </si>
  <si>
    <t>https://www.startribune.com/skywater-technology-semiconductor-chips-science-act-federal-fund/601191886</t>
  </si>
  <si>
    <t>MN Forward Fund $19M, Federal CHIPS $16M</t>
  </si>
  <si>
    <t>Circle K</t>
  </si>
  <si>
    <t xml:space="preserve">Canadian gas station company Circle K, which owns and operates Holiday Stationstores in Minnesota, is opening a distribution center in Otsego as part of its recent supply chain expansion in the Midwest. Circle K is a subsidiary of Quebec-based Alimentation Couche-Tard Inc.  The 260,000-square-foot distribution center is located at the Gateway North Business Center. Circle K anticipates starting operations at the center in late 2025. Staffing will range from 140 to 230 employees. </t>
  </si>
  <si>
    <t>https://www.bizjournals.com/twincities/news/2024/12/09/circle-k-otsego.html</t>
  </si>
  <si>
    <t>6301 Queens Ave. NE</t>
  </si>
  <si>
    <t>Alimentation Couche Tard</t>
  </si>
  <si>
    <t>City of Bloomington Construction Permits: Interior office space renovation and associated mechanical and electrical work.</t>
  </si>
  <si>
    <t>9300 BLOOMINGTON FWY</t>
  </si>
  <si>
    <t>Beckman Coulter</t>
  </si>
  <si>
    <t>Beckman Coulter, a manufacturer of medical diagnostic equipment for the health care industry, is planning a $50 million building expansion in Chaska. Beckman Coulter estimates the expansion will create 300 new full-time jobs within three years. The City Council approved the plan for a 148,000-square-foot addition to an existing 60,000-square-foot building at 316 Hazeltine Drive on Beckman Coulter’s 12.9 acre campus.
DEED JCF Award $1.74M</t>
  </si>
  <si>
    <t>https://finance-commerce.com/2024/12/chaska-advances-beckman-coulter-expansion-plans/</t>
  </si>
  <si>
    <t>316 Hazeltine Drive,</t>
  </si>
  <si>
    <t>JCF ($1.74M), MIF ($1.25M)</t>
  </si>
  <si>
    <t>Walman Optical</t>
  </si>
  <si>
    <t>Walman Optical is a leading provider of eyeglasses and eyeglass lenses in the U.S. Walman plans to increase production at their facility in Brooklyn Park, their largest one nationwide, from 6,000 eyeglass lenses/day to 6,800/day by 2025.  Company investment in advanced eyecare technologies will require hiring more staff and provding addiitional training to 234 staff (incl. 22 new staff). Walman Optical is partnering with North Hennepin Community College. Training runs Jan 2025-Jan 2028. 
MJSP grant of $256K.</t>
  </si>
  <si>
    <t>9200 Wyoming Ave N # 365,</t>
  </si>
  <si>
    <t>2025-Q2</t>
  </si>
  <si>
    <t>Allina</t>
  </si>
  <si>
    <t>The new $1 billion 500,000-square-foot surgical care center at Abbott Northwestern will feature 30 ORs and 192 beds. Allina Health broke ground on the project in October 2023 is on schedule for completion in June 2026. After a move-in process, the facility will open in late August 2026. The care center project is part of a larger $1.5 billion expansion. Funding was boosted in 2023 by a $25 million donation from the Richard M. Schulze Family Foundation.</t>
  </si>
  <si>
    <t>https://finance-commerce.com/2025/05/abbott-northwestern-surgical-center-construction/</t>
  </si>
  <si>
    <t>800 E. 28th St</t>
  </si>
  <si>
    <t xml:space="preserve">Ecolab plans to renovate existing facilities, expand research and development lab facilities, construct a 82,200 sqft addition to house a new customer experience center, and purchase equipment” at the company’s Schuman campus at 655 Lone Oak Drive.  The project will retain 797 jobs in Eagan, as well as create 5 new jobs. Ecolab is seeking state assistance for the project via a Minnesota Forward Fund application. </t>
  </si>
  <si>
    <t>https://finance-commerce.com/2025/05/ecolab-eagan-campus-expansion/</t>
  </si>
  <si>
    <t>(2026-03 seeking $10M from MFF)</t>
  </si>
  <si>
    <t>HealthPartners</t>
  </si>
  <si>
    <t>HealthPartners' $400 million Lakeview Hospital project  in Stillwater was approved. Construction is expected to begin by the end of May 2025 on 64-acre site near Highway 36. The project will include a six-story building with more than 400,000 square feet of space, nearly twice as big as the current Lakeview Hospital. The new hospital is expected to open in late 2027 or early 2028.</t>
  </si>
  <si>
    <t>https://www.bizjournals.com/twincities/news/2025/05/07/healthpartners-lakeview-campus-stillwater-approval.html</t>
  </si>
  <si>
    <t>927 Churchill St W</t>
  </si>
  <si>
    <t>2025-Q1</t>
  </si>
  <si>
    <t>North Wind</t>
  </si>
  <si>
    <t>St. Paul-based North Wind Test LLC (North Wind) plans to invest $234 million to build a state-of-the-art aerospace R&amp;D and testing center in Rosemount. The Complex will house hypersonic ground test facilities. A preliminary site plan includes multiple buildings with over 245,000 sqft of space, including wind tunnels, engineering space and offices. Investment includes $98.5M from U.S. DoD, up to $50M in Minnesota Forward Fund and North Wind’s owned equipment  worth $85M. Update 12/2025 Purchase of land at UMore Park for $8M. Expect to break ground in May/June 2026, fully operational by 2030.</t>
  </si>
  <si>
    <t>https://mn.gov/admin/assets/SR49_35_tcm36-670221.pdf</t>
  </si>
  <si>
    <t>$50M from MFF, $98.5M in Federal funds from USDoD</t>
  </si>
  <si>
    <t>2025-Q4</t>
  </si>
  <si>
    <t>Daikin Applied Americas</t>
  </si>
  <si>
    <t>Daikin Applied Americas Inc., a maker of commercial HVAC equipment, has begun construction of a $163 million research and development test lab in the Twin Cities. The 71,000-square-foot facility will be located at the company’s Plymouth headquarters. Completion is expected sometime in 2027.  Daikin will use the R&amp;D lab to further HVAC innovation, specifically in cooling technologies for large data centers.  Daikin intends to hire talent across engineering and technician roles.</t>
  </si>
  <si>
    <t>https://www.bizjournals.com/twincities/news/2025/12/09/multimillion-dollar-daikin-hvac-research-facility.html</t>
  </si>
  <si>
    <t xml:space="preserve"> 13600 Industrial Park Blvd.</t>
  </si>
  <si>
    <t>yes</t>
  </si>
  <si>
    <t>Boston Scientific has approximately doubled its Minnesota workforce in the last 15 years to about 10,000. It has become the largest employer in both Maple Grove and Arden Hills. Boston Scienitific plans a new expansion of its Weaver Lake 4 building, with the first phase including a 52,000-square-foot facility costing $139.4 million, which would create 440 new jobs by 2030 and the second involving a 31,800 square foot addition. The expansions will add needed production space. Both phases may be built at once. Proposal to begin construction next year with completion in 2026.</t>
  </si>
  <si>
    <t>https://ccxmedia.org/news/maple-grove-approves-boston-scientific-expansion-plan-2025/</t>
  </si>
  <si>
    <t>1 Scimed Pl</t>
  </si>
  <si>
    <t>MIF $1M, JCF $1.66M</t>
  </si>
  <si>
    <t>1 Scimed Pl is the Weaver Lake Campus</t>
  </si>
  <si>
    <t>West Fraser US EWP</t>
  </si>
  <si>
    <t>Solway</t>
  </si>
  <si>
    <t>West Fraser US EWP LLC (NAICS 321219) is looking to expand in Solway, Beltrami County, Minnesota. West Fraser makes sustainable wood products across more than 50 facilities in North America and Europe. Its products are widely used in construction, renovation, manufacturing, and packaging. The total project cost is $137 million which covers renovations to an existing building and purchasing new machinery and equipment. The company expects to retain 132 jobs in Solway.
DEED Awards: JCF $1.08 million</t>
  </si>
  <si>
    <t>https://mn.gov/deed/about/meetings-events/public-meetings.jsp?trumbaEmbed=view%3Devent%26eventid%3D183431706</t>
  </si>
  <si>
    <t>4409 Northwood Rd NW</t>
  </si>
  <si>
    <t>West Fraser</t>
  </si>
  <si>
    <t>BioMADE</t>
  </si>
  <si>
    <t>Bioindustrial Manufacturing and Design Ecosystem (BioMADE), (NAICS 541714) plans to expand in Maple Grove.  BioMADE would invest $132M including $82M in federal funds from the DoD and up to $50M from the Minnesota Forward Fund, and create 25 new jobs. The new BioMADE space will provide R&amp;D and small-scale manufacturing services. The pilot facility will incorporate workforce training components. BioMADE wants to build out space within an existing 122,400-square-foot building in Maple Grove.</t>
  </si>
  <si>
    <t>https://www.startribune.com/biomade-maple-grove-132-million-bio-industrial-plant-cargill-china-defense/601336560</t>
  </si>
  <si>
    <t>7500 Meridian Circle</t>
  </si>
  <si>
    <t>$50M from MFF.  $82M in Federal funds from USDoD</t>
  </si>
  <si>
    <t>2025-Q3</t>
  </si>
  <si>
    <t>DEM-Con HZI BioEnergy (with Ramsey/Washington Recycling &amp; Energy)</t>
  </si>
  <si>
    <t>Ramsey/Washington Recycling &amp; Energy and Dem-Con HZI BioEnergy, the project’s partners, plan to break ground in November 2025 on a $92 million new facility that will process up to 75,000 tons of organic waste each year. The public-private partnership involves Dem-Con building the facility and Ramsey/Washington Recycling and Energy providing the “feed stock" (i.e. household food waste). This facility will produce renewable natural gas (“RNG”) and biochar. To help pay for the new facility, received $10M from DEED's Minnesota Forward Fund.</t>
  </si>
  <si>
    <t>Renewable Energy</t>
  </si>
  <si>
    <t>https://finance-commerce.com/2025/09/scott-county-food-waste-recycling-facility/</t>
  </si>
  <si>
    <t xml:space="preserve"> 13020 Dem-Con Drive</t>
  </si>
  <si>
    <t>MFF $10M</t>
  </si>
  <si>
    <t>Kanadevia Inova</t>
  </si>
  <si>
    <t>Randolph</t>
  </si>
  <si>
    <t>Cambria, the countertop company, is building an $80 million quartz processing plant and rail center in Dakota County in order to relocate some operations from Canada. The new 10-story 61,000 square foot quartz crushing plant will employ 300 construction workers, and will create 50 to 70 permanent workers. Construction is already underway. The move consolidates processing operations and saves millions at a time when sales are down and tariff costs are up. Cambria will still import quartz from its mines in Quebec because Canadian quartz is mostly free of iron and highly translucent, unlike quartz sourced in the U.S.</t>
  </si>
  <si>
    <t>Nonmetallic Mineral</t>
  </si>
  <si>
    <t>https://www.startribune.com/cambria-quartz-new-factory-minnesota-reshoring-canadian-operations-struggling-industry/601454082</t>
  </si>
  <si>
    <t> Co Rd 86</t>
  </si>
  <si>
    <t>General Mills</t>
  </si>
  <si>
    <t>General Mills is building a $54 million pilot plant in Golden Valley, adding much-needed space to put new products on shelves faster. The 35,000-square-foot, two-story addition to the  James Ford Bell Technical Center adds to an increasingly cramped technical center that houses about 1,000 employees just north of the company’s main headquarters. The project will add 20% to existing pilot plant space to help test small runs of new and updated products, and require new production and technical employees.</t>
  </si>
  <si>
    <t>https://www.businesswire.com/news/home/20250826338622/en/General-Mills-Invests-%2454-Million-in-Expansion-of-James-Ford-Bell-Technical-Center</t>
  </si>
  <si>
    <t>Business Wire</t>
  </si>
  <si>
    <t>9000 Plymouth Ave. N</t>
  </si>
  <si>
    <t>Rolls Royce Solutions America</t>
  </si>
  <si>
    <t>Rolls-Royce Solutions America plans to invest $35 million at its two facilities in Mankato. Rolls-Royce currently has 419 employees at its 107,000-square-foot manufacturing facility on Power Drive in Mankato. They plan to invest $30.5 million to expand that plant by 280,000 square feet,  and another $4.5 million in their leased facility at 304 Lundin Blvd. As a result, RRSA will create 128 new jobs over 3 years across the Power Drive (50 direct jobs, 53 indirect jobs) and Lundin Blvd (25 direct jobs) locations.``
DEED JCF Award $500,000 (July 2025)</t>
  </si>
  <si>
    <t>https://infoweb.newsbank.com/apps/news/document-view?p=NewsBank&amp;docref=news/19E8ED3E707B29D0&amp;f=basic</t>
  </si>
  <si>
    <t>The Free Press (Mankato) via Newsbank</t>
  </si>
  <si>
    <t xml:space="preserve">100 Power Drive </t>
  </si>
  <si>
    <t>Rolls Royce Power Systems (Germany), Rolls Royce (UK)</t>
  </si>
  <si>
    <t>Germany, U.K.</t>
  </si>
  <si>
    <t>Intricon</t>
  </si>
  <si>
    <t xml:space="preserve">Intricon Corp plans to invest a total of $30M in automation, and plans to boost robotics team over five years. Medical technology maker Intricon Corp. has spent nearly $20 million since ramping up automation in its manufacturing systems in the past couple of years. Over the next three years, the Arden Hills company plans to spend another $10 million on robotics and other technology and expects to more than double its robotics team of currently more than 20. Intricon has over 700 employees, and over 500 are local. </t>
  </si>
  <si>
    <t>https://www.bizjournals.com/twincities/news/2025/06/12/intricon-arden-hills-automation.html</t>
  </si>
  <si>
    <t>1275 Grey Fox Road</t>
  </si>
  <si>
    <t>Beck's Hybrids is developing a three-building, connected facility totaling about 96,000 square feet. Renville County Commisssioners approved tax abatement of up to $149,999 for Beck's $28 million expansion near Olivia, Minnesota. It was noted that the company could have moved its expansion out of the county.  The new facility includes a warehouse, cold storage, and an expanded site for Beck's Practical Farm Research program which employs 20 people.  Completion is expected in spring 2026. The project will create 4 new full-time jobs and many part-time jobs.</t>
  </si>
  <si>
    <t>Farm Supplies</t>
  </si>
  <si>
    <t>https://infoweb.newsbank.com/apps/news/document-view?p=NewsBank&amp;docref=news/1A162FF2DDFE2D48&amp;f=basic</t>
  </si>
  <si>
    <t>West Central Tribune (via Newsbank)</t>
  </si>
  <si>
    <t>Advanced Exhaust Solutions</t>
  </si>
  <si>
    <t xml:space="preserve">
Advanced Exhaust Solutions, a Northfield-based provider of exhaust gas silencers and other products, purchased the 168,000-square-foot Jacquard Distribution Center for $22 million.  Although AES initially wanted to lease the building, once improvement costs were considered, they decided to buy the building. </t>
  </si>
  <si>
    <t>https://finance-commerce.com/2025/03/lakeville-distribution-center-sold-22m/</t>
  </si>
  <si>
    <t>10180 217th St. W</t>
  </si>
  <si>
    <t>Hansen &amp; Co Woodworks</t>
  </si>
  <si>
    <t>St Joseph</t>
  </si>
  <si>
    <t>A $20 million business expansion is underway at cabinetry manufacturer Hansen &amp; Co. Woodworks and which is largely led by automation. The new technology will drive higher productivity and wages for employees. The $13 million new machines are inside a newly built 92,000-square-foot manufacturing facility. The company's 60 employees make cabinets and other products that are sold to general contractors in Minnesota.  He brought in machinery from Italy and Germany, where furniture manufacturing is lightyears ahead.</t>
  </si>
  <si>
    <t>https://www.bizjournals.com/twincities/inno/stories/news/2025/06/05/hansen-company-woodworks-st-joseph.html</t>
  </si>
  <si>
    <t>30701 Pearl Dr Suite #3</t>
  </si>
  <si>
    <t>The Nidec facility in North Mankato is about to get a lot bigger. Nidec's local facility, known as Kato Engineering, broke ground on a 120,000-square-foot expansion. Nidec Power, a division of Nidec Corporation, designs and manufactures Kato Engineering™ and Leroy-Somer™ alternators, which play a critical role in power generation for applications such as data centers, hospitals, defense, and more. The company is investing over $19 million to expand operations at its North Mankato facility.</t>
  </si>
  <si>
    <t>https://acim.nidec.com/en/generators/leroy-somer/News-And-Media/News/Archive/2025/11/20/Kato-Groundbreaking</t>
  </si>
  <si>
    <t>NIDEC</t>
  </si>
  <si>
    <t>Safety Rail</t>
  </si>
  <si>
    <t>A Spring Park company known for producing rooftop safety rails has purchased a Chanhassen warehouse with the intent of using it as its new manufacturing facility. The Chanhassen warehouse was bought by Safety Rail Co. in a $12.8 million transaction. Safety Rail was looking for a larger space to expand.</t>
  </si>
  <si>
    <t>Metal Products</t>
  </si>
  <si>
    <t>https://finance-commerce.com/2025/08/safety-rail-chanhassen-warehouse-purchase/</t>
  </si>
  <si>
    <t>1000 Park Road</t>
  </si>
  <si>
    <t>Micro Control Company</t>
  </si>
  <si>
    <t>Groundbreaking is expected this week on the 157,000-square-foot project that will become the headquarters of Micro Control Company, a test equipment manufacturer for the electronics industry. It will take up about 10 acres of Outlot A,  on the north end of Rice Creek Commons. Micro Control Co. is currently at based in Fridley. Its expertise is in microprocessor burn-in and its testing capabilities. The sale agreement indicates a price of $9.2 million for Outlot A and up to $3.5 million investment in a low carbon and energy-efficient design.</t>
  </si>
  <si>
    <t>https://www.twincities.com/2025/04/28/officials-to-break-ground-on-1st-rice-creek-commons-project-in-arden-hills/?utm_email=3564C458B565624D24CD5471C5&amp;lctg=3564C458B565624D24CD5471C5&amp;active=no&amp;engagement=&amp;utm_source=listrak&amp;utm_medium=email&amp;utm_term=https%3a%2f%2fwww.twincities.com%2f2025%2f04%2f28%2fofficials-to-break-ground-on-1st-rice-creek-commons-project-in-arden-hills%2f&amp;utm_campaign=stpa-st_paul_pioneer_press-morning_report-nl&amp;utm_content=manual</t>
  </si>
  <si>
    <t>Saint Paul Pioneer Press</t>
  </si>
  <si>
    <t>3751 Lexington Ave N,</t>
  </si>
  <si>
    <t>Zero Zone Refrigeration</t>
  </si>
  <si>
    <t>Zero Zone manufactures high-performance refrigeration systems. The proposed project would expand their facility by adding 40,000 square feet of production space and 18,000 square feet of office and lab testing areas. The total project cost is $11,000,000 for new construction and site improvements, as well as new machinery and equipment. The company expects to create 55 jobs within the first 3 years. DEED awards: $350K MIF. $450K JCF. City of Ramsey is considering providing $360,000 via TIF.</t>
  </si>
  <si>
    <t>MF, OF, RD</t>
  </si>
  <si>
    <t>https://destinyhosted.com/agenda_publish.cfm?id=72673&amp;mt=ALL&amp;vl=true&amp;get_month=9&amp;get_year=2025&amp;dsp=agm&amp;seq=16438&amp;rev=0&amp;ag=23460&amp;ln=68292&amp;nseq=16482&amp;nrev=0&amp;pseq=16478&amp;prev=0&amp;vl=true#ReturnTo68292</t>
  </si>
  <si>
    <t>City of Ramsey, DEED</t>
  </si>
  <si>
    <t>6151 140th Ave NW</t>
  </si>
  <si>
    <t>MIF $350K, JCF $450K, TIF $360K (maybe)</t>
  </si>
  <si>
    <t>North Prairie</t>
  </si>
  <si>
    <t>Metropolitan Transportation Network MTN</t>
  </si>
  <si>
    <t>The Metropolitan Transportation Network Inc. (MTN), which provides school transportation, charter and consulting services, is expanding and bought a 74,000-square-foot industrial real estate building in northeast Minneapolis for $8 million,  The company is keeping its current headquarters in Fridley. MTN has spent over $2 million on renovations to the building. MTN plans to store 25 electric buses in the building. The expansion creates an additional 200 jobs.</t>
  </si>
  <si>
    <t>https://www.bizjournals.com/twincities/news/2025/02/13/metropolitan-transportation-network-northeast.html</t>
  </si>
  <si>
    <t>3134 California St. NE.</t>
  </si>
  <si>
    <t>JonnyPops</t>
  </si>
  <si>
    <t xml:space="preserve">An office property  located at 9800 59th Ave. in Plymouth, was purchased by JonnyPops, a frozen desert manufacturer that operates out of Elk River, for $9.9 million. JonnyPops will use 9800 at Bass Creek as both additional office space and as a research and development site, according to a company spokesperson. The company is calling the site its “innovation center.”
The seller of the property is Cantel Medical, a medical device company. The building has 160,000 square feet across four stories. </t>
  </si>
  <si>
    <t>https://finance-commerce.com/2025/02/jonnypops-buys-plymouth-office-at-a-discount/</t>
  </si>
  <si>
    <t>9800 59th Ave.</t>
  </si>
  <si>
    <t>Stepp Manufacturing</t>
  </si>
  <si>
    <t>DEED awarded the city of North Branch $1,050,860 to support street and utility construction in the city’s 200-acre, multi-phased Interstate Business Park. The project will immediately provide infrastructure for two businesses. Stepp Manufacturing, currently headquartered in a different North Branch location with 71 full-time employees, with plans to invest $9.5 million in a new facility and add 25 to 50 employees in the next five years. The second business is LEI Packaging.</t>
  </si>
  <si>
    <t>https://mn.gov/deed/newscenter/press-releases/?id=694560</t>
  </si>
  <si>
    <t>6408 Elm Street </t>
  </si>
  <si>
    <t>BDPI (to North Branch)</t>
  </si>
  <si>
    <t>So Good So You (So Good Brand)</t>
  </si>
  <si>
    <t>Renovations to turn a suburban office warehouse into cold storage for the property seller have paid off to the tune of $8.6 million. The buyer is So Good So You, a growing Minneapolis producer of organic cold-pressed juice shots.</t>
  </si>
  <si>
    <t>https://finance-commerce.com/2025/06/cold-storage-sale-inver-grove-so-good-so-you/</t>
  </si>
  <si>
    <t xml:space="preserve">6085 Claude Way, #100, </t>
  </si>
  <si>
    <t>Louis Industries</t>
  </si>
  <si>
    <t>Louis Industries Inc. (NAICS 332618) plans to expand in Paynesville. Louis Industries, Inc. is one of the most modern steel processing facilities in the Upper Midwest. The planned expansion increases Louis' capacity and capability in laser cutting, punching, forming, welding, and finishing. The $7.8 million project expands their facility by 42,000 square feet, for manufacturing and offices.  The company expects to create 15 jobs within the first 2 years. 
DEED Awards: JCF $175K, MIF $325K</t>
  </si>
  <si>
    <t>https://cms2.revize.com/revize/cityofpaynesville/min%2005-27-25%20Council.pdf</t>
  </si>
  <si>
    <t>City of Paynesville</t>
  </si>
  <si>
    <t>JCF $175K, MIF $325K</t>
  </si>
  <si>
    <t>Long Cheng</t>
  </si>
  <si>
    <t>Long Cheng, a meat processor, is planning to expand operations by relocating to a newly constructed facility. In addition to meat processing, Long Cheng envisions creating a wholesale marketplace. The total project costs for relocation into a new 32,600 square foot facility are estimated at $7 million of which up to $5.99M will be funded by a direct legislative appropriation. The project will retain 13 jobs and create 6 new jobs over the next 3 years.</t>
  </si>
  <si>
    <t>South Concord St</t>
  </si>
  <si>
    <t>SPAP ($5.99M, tentative), seeking $ from TCCP</t>
  </si>
  <si>
    <t>Winnebago Manufacturing</t>
  </si>
  <si>
    <t>Winnebago Manufacturing is planning expansion project in the City of Blue Earth involving construction of a 37,000 square foot bulk industrial facility for expanded manufacturing and warehousing. City Council is considering establishing a TIF district, which estimates reimbursing $450,838 over the life of the TIF. Winnebago specializes in custom steel fabrication. The total project cost is $6.5 million and will create 6 FT jobs over the first two years.</t>
  </si>
  <si>
    <t>MF, DW</t>
  </si>
  <si>
    <t>https://becity.org/index.php/component/edocman/6-30-25-special-meeting-minutes/viewdocument/905?Itemid=0</t>
  </si>
  <si>
    <t>City of Blue Earth</t>
  </si>
  <si>
    <t>870 Welk Dr</t>
  </si>
  <si>
    <t>City of Blue Earth TIF ($450K), JCF</t>
  </si>
  <si>
    <t xml:space="preserve">Event production services company EideCom will double its footprint by addiing 20,000 additional square feet. The buildout will cost $300,000 and began last week. The company plans to invest $6 million in new equipment. EideCom will own a greater share of the items, as opposed to renting or leasing equipment. Typical equipment includes cameras, broadcast equipment, LED walls, light fixtures, switchers and more. Last year, EideCom was on Inc.'s 5000 list of fastest-growing companies in the U.S. </t>
  </si>
  <si>
    <t>https://www.bizjournals.com/twincities/news/2025/04/25/events-production-eidecom-revenue-corporate-growth.html</t>
  </si>
  <si>
    <t>7601 Northland Drive N.</t>
  </si>
  <si>
    <t>Kohner's Sand and Gravel and Army Corps of Engineers (City of Wabasha)</t>
  </si>
  <si>
    <t>Wabasha</t>
  </si>
  <si>
    <t>City of Wabasha is constructing a gravel access road to a newly constructed barge terminal. The port will allow both the Army Corps of Engineers to remove dredged sand from the Mississippi River and Kohner’s Sand and Gravel to pick up the sand and haul it away for sale and reuse. The project retains 15 jobs and creates 10 new jobs. The project will cost $6 million, with the city covering the remaining costs. Kohner’s will also be investing in a modest field house.
DEED BDPI award: $748,788 to City of Wabasha</t>
  </si>
  <si>
    <t>Nonmetallic Mineral Mining</t>
  </si>
  <si>
    <t>905 Church Ave, </t>
  </si>
  <si>
    <t>Global Distribution</t>
  </si>
  <si>
    <t>Ham Lake</t>
  </si>
  <si>
    <t xml:space="preserve">Global Distribution, a Blaine wholesaler of e-cigarettes and tobacco accessories, has paid $5.1 million for larger quarters and is relocating to Ham Lake. Z &amp; A Investments LLC, an entity related to the distributor, closed Jan. 24 on the acquisition. The 54,267-square-foot building was developed in 2001 on 5.39 acres. </t>
  </si>
  <si>
    <t>https://finance-commerce.com/2025/02/global-distribution-ham-lake-moorhead-vanne-apartments-sold/</t>
  </si>
  <si>
    <t>14203 Lincoln Ave</t>
  </si>
  <si>
    <t>DEED awarded the city of North Branch $1,050,860 to support street and utility construction in the city’s 200-acre, multi-phased Interstate Business Park. The project will immediately provide infrastructure for two businesses: LEI Packaging, which currently has 15 full-time jobs in Chisago City and is building a new, larger $5 million facility in North Branch, with plans to add 25 to 50 more workers in the next five years. The second business is Stepp Manufacturing.</t>
  </si>
  <si>
    <t>Marotta Controls</t>
  </si>
  <si>
    <t>Marotta Controls, based in New Jersey, develops and manufactures innovative systems and sub-systems for the aerospace and defense sectors. At their Chaska location, they manufacture small high-performance motors. Marotta is looking to expand their Chaska facility to include Rapid Prototyping capabilities and increase production capacity to build all their motor needs in-house. Marotta plans to invest nearly $5 million and create 35 new full-time jobs within three years.</t>
  </si>
  <si>
    <t>https://chaskamn.portal.civicclerk.com/event/904/files/attachment/5249 (key dates: 10/6/25 and 0/15/25)</t>
  </si>
  <si>
    <t>City of Chaska</t>
  </si>
  <si>
    <t>3650 N Chestnut St</t>
  </si>
  <si>
    <t>MIF $220K</t>
  </si>
  <si>
    <t>Boonton</t>
  </si>
  <si>
    <t>New Jersey</t>
  </si>
  <si>
    <t>Miller Manufacturing</t>
  </si>
  <si>
    <t>Eagan-based Miller Manufacturing Co. has announced it has paid $4.64 million for a 60,000-square-foot distribution and warehouse facility in Hutchinson. The new facility gives Miller greater operational flexibility. Miller is a manufacturer, distributor and marketer of farm, ranch and pet products sold under various brand names. The current expansion comes three years after Miller took over the former Lakeland Tool and Engineering Inc. in Anoka.</t>
  </si>
  <si>
    <t>https://finance-commerce.com/2025/01/just-sold-manufacturer-buys-hutchinson-warehouse/</t>
  </si>
  <si>
    <t>1105 Benjamin Drive SE</t>
  </si>
  <si>
    <t>Alter Technology (Tüv Nord Group)</t>
  </si>
  <si>
    <t>Alter Technology US Inc., a new U.S. subsidiary of Germany-based Tüv Nord Group, proposes to lease 14,000 sqft space  in an existing building in Plymouth, and invest $4.5 million ($1.5 million renovations, $3.0 million new equipment). Creation of 16 new high paying jobs in the first 3 years. Company specializes in testing semiconductors demanded by the aerospace, defense and medical industries. Update: 11/2025: Operations to begin at the new facility in Plymouth in 10/2025. 
DEED JCF Award $175K</t>
  </si>
  <si>
    <t>https://www.bizjournals.com/twincities/news/2025/01/29/alter-technology-plymouth-semiconductor-facility.html</t>
  </si>
  <si>
    <t>JCF ($175K), MIF ($100K)</t>
  </si>
  <si>
    <t>Tüv Nord Group</t>
  </si>
  <si>
    <t>Hanover</t>
  </si>
  <si>
    <t>Premier Stone Design</t>
  </si>
  <si>
    <t>St. Joseph</t>
  </si>
  <si>
    <t>St. Cloud manufacturer Premier Stone Design will be more than doubling in size with a move next fall to St. Joseph. The $4.2 million expansion is currently under construction and is expected to create new jobs. The company will be moving to a new 19,000-square-foot facility that features an expanded indoor showroom, more manufacturing space, and new equipment. Premier Stone Design opened in 2004 and is a family business that sells stone products like sinks and countertops.</t>
  </si>
  <si>
    <t>https://www.sctimes.com/story/news/local/2025/01/22/premier-stone-design-moves-to-st-joseph-home-business-marble-granite-minnesota-dakotas/77723220007/</t>
  </si>
  <si>
    <t>St Cloud Times</t>
  </si>
  <si>
    <t>2050 Jasmine Court</t>
  </si>
  <si>
    <t>Grover Farm Trucking</t>
  </si>
  <si>
    <t>Amboy</t>
  </si>
  <si>
    <t>The city of Amboy was awarded $831,800 from BDPI to assist in constructing steets and utilities for a vacant lot where Grover Farm Trucking will be expanding. Grover Farm Trucking plans to invest $3.5 million into a new 30,000 sf warehouse and 22,000 sf distribution center. Grover now employs 30 people full time but plans to add 5 new FTEs within one year and 25 in five years. The city will match the award to cover the total public infrastructure project cost of $1.6 million.</t>
  </si>
  <si>
    <t>11661 529th Avenue</t>
  </si>
  <si>
    <t>BDPI (to Amboy)</t>
  </si>
  <si>
    <t>Precision Optics</t>
  </si>
  <si>
    <t xml:space="preserve">Precision Optics offers capabilities in design, prototype, and manufacture optical imaging systems and components. A building permit for its address (although the business was not named in the report) describes planned construction of a 2,840 sqft addition to the existing office area and remodeling of the existing office area. </t>
  </si>
  <si>
    <t>6925 SAUKVIEW DR, ST CLOUD, MN 56303</t>
  </si>
  <si>
    <t>City of Bloomington Building Permit: Renovation of interior office space, restrooms, associated mechanical and electrical work on the 2nd floor.</t>
  </si>
  <si>
    <t>City of Bloomington Building Permits</t>
  </si>
  <si>
    <t>9301 JAMES AVE S, BLOOMINGTON, MN 55431</t>
  </si>
  <si>
    <t>Northwestern Mutual</t>
  </si>
  <si>
    <t>Building Permit description: 8028 SF building addition and parking lot expansion for Northwestern Mutual.</t>
  </si>
  <si>
    <t>OF, other</t>
  </si>
  <si>
    <t>705 36 ST S, ST CLOUD, MN 56301</t>
  </si>
  <si>
    <t>Forklifts of Minnesota</t>
  </si>
  <si>
    <t>Bloomington Building Permit Reports. Building renovations, including new offices and storage area.</t>
  </si>
  <si>
    <t>2201 W 94TH ST</t>
  </si>
  <si>
    <t xml:space="preserve">Donaldson is global, vertically integrated filtration products manufacturer.  Building Permit describes a construction project to renovate office space. </t>
  </si>
  <si>
    <t>Veit</t>
  </si>
  <si>
    <t xml:space="preserve">MJSP Award $326,630 to support training for 591 workers, including 60 new workers. Business will contribute $1.7 million toward the training spanning March 2025 to October 2028. Level of training: Retraining, Advanced. St. Cloud State University (SCSU), in partnership with Veit, will develop a streamlined, customized training program along three tracks, enabling employees to achieve their growth goals, support digital advancements, and remain competitive in the job market. The training program will be divided into three tracks. </t>
  </si>
  <si>
    <t>14000 Veit Place</t>
  </si>
  <si>
    <t>Fowling Warehouse</t>
  </si>
  <si>
    <t>Detroit-based Fowling Warehouse plans nearly $1.5 million renovation of an industrial building located at 401 Royalston Ave. N. The 38,690-square-foot facility will feature 21 fowling lanes. Fowling combines football and bowling, with teams competing to knock down pins.</t>
  </si>
  <si>
    <t>Recreation, Entertainment</t>
  </si>
  <si>
    <t>https://www.bizjournals.com/twincities/news/2025/05/06/fowling-warehouse-game-center-north-loop.html</t>
  </si>
  <si>
    <t xml:space="preserve">401 Royalston Ave. N. </t>
  </si>
  <si>
    <t>Detroit</t>
  </si>
  <si>
    <t>Bloomington Building Permit Reports: Interior office space renovation and associated mechanical and electrical work.</t>
  </si>
  <si>
    <t>Clow Stamping</t>
  </si>
  <si>
    <t xml:space="preserve">Clow Stamping Company, based in Merrifield, is a metal stamping and metal components manufacturer. Clow hired 50 new workers to meet increased demand. Clow Stamping's training program, spanning 17 courses, will build leadership capacity, close technical skill gaps, and help retain their workforce. MJSP Grant Award of $398,595 to their partner Anoka Ramsey Community College to train 373 employees, which includes 50 new hires. Project Period: Oct. 2025-Oct 2027. </t>
  </si>
  <si>
    <t>Tonna Mechanical</t>
  </si>
  <si>
    <t>Tonna Mechanical provides HVAC and commercial plumbing services. Tonna Mechanical, based in Rochester, employs 74 full-time employees. Tonna Mechanical will be opening a second location in Owatonna in the spring of 2025. This expansion will relocate some current employees to Owatonna. The business expects to add 40 new jobs across the two locations. New hires will participate in one of four training programs, each representing 560 hours of training. The training costs will be covered by MJSP funds of $200,000 and Tonna's contribution of $1.07 million.</t>
  </si>
  <si>
    <t>1440 Industrial Dr NW</t>
  </si>
  <si>
    <t>AirCorps Aviation (Fabrication Shop)</t>
  </si>
  <si>
    <t>AirCorps Aviation, based in Bemidji, is planning to construct and improve their facility. The project will create 14 new jobs and retain 68 existing jobs in Minnesota. The expansion will invest about $1 million for site improvements and new construction. The company specializes in the restoration, maintenance, and rebuilding of vintage World War II aircraft, as well as providing other aerospace services. 
DEED's JCF award of $175K.</t>
  </si>
  <si>
    <t>https://bemidjimn.portal.civicclerk.com/event/78/files/agenda/364</t>
  </si>
  <si>
    <t>City of Bemiji</t>
  </si>
  <si>
    <t>1180 Adams NW</t>
  </si>
  <si>
    <t>JCF $175K</t>
  </si>
  <si>
    <t>Mortenson</t>
  </si>
  <si>
    <t>Mortenson is investing in its R&amp;D with a new space in Fridley. The “BLUlabs” facility features 40,000 square feet to support real-world testing, prototyping and product development.  The space is outfitted equipment such as 3D printers, CAD equipment and software, CNC machines and a plasma cutting table. Mortenson had previously leased 15,000 square feet for R&amp;D but quickly outgrew it. Mortenson Properties owns the new property with Hyde Development and invested about $700,000 to build out the space.</t>
  </si>
  <si>
    <t>https://finance-commerce.com/2025/08/mortenson-fridley-innovation-lab-construction-rd/</t>
  </si>
  <si>
    <t>5101 Industrial Blvd NE #400 </t>
  </si>
  <si>
    <t>Bloomington Building Permit Reports: Renovation of interior office space, restrooms and associated mechanical and electrical work on the first floor.</t>
  </si>
  <si>
    <t>All Flex Solutions Bloomington</t>
  </si>
  <si>
    <t>All Flex Solutions manufactures printed circuits for industries such as medical, defense, aerospace, semiconductor and telecommunications. Based on the building permit description, their construction project involves renovations to their space. No structural work to be done as a part of this project.</t>
  </si>
  <si>
    <t>Rengel Printing</t>
  </si>
  <si>
    <t>St Cloud Building Permit Reports, August 2025: Address 1922 7th St N. St Cloud. Rengel Printing (per their website and Google search) is at this address. 40' x 120' building addition (4800 sq ft footprint) with loading dock. New addition is for warehouse.</t>
  </si>
  <si>
    <t>https://www.ci.stcloud.mn.us/DocumentCenter/View/29637/August-2025</t>
  </si>
  <si>
    <t>1922 7th St N</t>
  </si>
  <si>
    <t>Nvent</t>
  </si>
  <si>
    <t xml:space="preserve">NVent will add a new production facility in Blaine. The company makes electrical enclosures and liquid cooling equipment for electronics. NVent will lease 117,000 square feet of space in Blaine to boost production. The site will employ 175 people, is expected to go online in early 2026. The new facility will make liquid cooling products for the data center and power utility industries. </t>
  </si>
  <si>
    <t>https://www.bizjournals.com/twincities/news/2025/09/04/nvent-adds-blaine-manufacturing-space.html</t>
  </si>
  <si>
    <t>GN Group (ReSound)</t>
  </si>
  <si>
    <t>GN Group, a Copenhagen-based manufacturer of hearing aids, speakers and headsets, is expanding operations at its new North American headquarters in Shakopee, which has been fully operational since mid-October (2025). GN currently employs 550 employees at the facility but expects to add at least another 100 jobs in 2026. Many of those new jobs will span roles in distribution and logistics, as well as some in engineering and sales.</t>
  </si>
  <si>
    <t>https://www.bizjournals.com/twincities/news/2025/12/02/inside-gn-group-shakopee-hq.html</t>
  </si>
  <si>
    <t>GN Group</t>
  </si>
  <si>
    <t>Copenhagen</t>
  </si>
  <si>
    <t>Evereve</t>
  </si>
  <si>
    <t xml:space="preserve">Women’s fashion retailer Evereve is setting a multiyear plan in motion to triple its revenues. Evereve’s headquarters now occupies the 7th floor (20,000 sq ft) of an office building at 6800 France Ave. The company’s expansion to the 6th floor will double its footpring. Constructionat the Edina office began last week and is expected to be complete in December 2025. The company employs about 110 corporate employees and hopes reach over 200 in the next six years. </t>
  </si>
  <si>
    <t>https://www.bizjournals.com/twincities/news/2025/10/08/evereve-expanding-edina-headquarters.html</t>
  </si>
  <si>
    <t>6800 France Ave</t>
  </si>
  <si>
    <t xml:space="preserve">Amazon announced a new 60,000 square-foot delivery hub is being built in North Mankato’s North Port Industrial Center. The project is expected to open in December. It’s anticipated to bring about 75 new jobs into the area. The delivery hub is a “last-mile” center, which means products shipped from Amazon’s larger facilities will be sent to the North Mankato center, where it'll be delivered to customers by vans around the area. </t>
  </si>
  <si>
    <t>https://www.mprnews.org/story/2025/04/21/north-mankatos-industrial-park-soon-to-be-site-of-amazon-delivery-hub</t>
  </si>
  <si>
    <t>MPR News</t>
  </si>
  <si>
    <t>Windom</t>
  </si>
  <si>
    <t xml:space="preserve">The city of Windom and its EDA presented a $1M check to Iowa Premium Pork. DEED is administering this part-grant, part-loan appropriation. Premium Iowa Pork invested significantly to renovate 165,000 sqft of the 227,000-sqft Windom facility before opening it in April 2025. The company plans to create of 70 full-time jobs at the Windom facility and retain them over a five-year period.  The Windom facility does further processing of pork into grinds, smokehouse and case-ready products. </t>
  </si>
  <si>
    <t>https://www.dglobe.com/news/local/windom-presents-1-million-to-premium-iowa-pork?__vfz=medium%3Dsharebar</t>
  </si>
  <si>
    <t>The Globe</t>
  </si>
  <si>
    <t>2850 Hwy 60 E</t>
  </si>
  <si>
    <t>SPAP ($1M)</t>
  </si>
  <si>
    <t xml:space="preserve">Daikin continues to expand in the Owatonna-Faribault area year after year, providing jobs in the local community and streamlining the manufacturing process. A new building for Daikin in Owatonna has opened, which will help create 50 new jobs over the next year. This new building is behind the larger Daikin warehouse in Owatonna's industrial park and will allow Daikin to insource component manufacturing and relocate coil production from their main plant. </t>
  </si>
  <si>
    <t>https://infoweb.newsbank.com/apps/news/document-view?p=NewsBank&amp;docref=news/1A0C6C15E19B7C30&amp;f=basic</t>
  </si>
  <si>
    <t>Owatonna People's Press (via Newbank)</t>
  </si>
  <si>
    <t>Amazon opened the doors of its new local delivery station to the public for the first time and showed off the inside of its 55,000-square-foot facility. The company employs about 80 people at the center, but that could grow by 50%, to around 120 workers. Amazon has seen strong local interest in its employment opportunities which have a starting wage of $18.45.</t>
  </si>
  <si>
    <t>https://www.duluthnewstribune.com/business/amazon-hiring-as-it-ramps-up-work-at-first-duluth-facility</t>
  </si>
  <si>
    <t>Francis Medical has closed on an $80 million Series C funding round, bringing its total raised to date to $160 million. Francis Medical is developing technology that uses water vapor to treat prostate cancer. The funding will continue the company's clinical trial and enable hiring of about 31 new employees, largely for roles in research and development, sales, and marketing. The company currently has about 40 employees.</t>
  </si>
  <si>
    <t>https://tcbmag.com/francis-medical-lands-80m-in-quest-to-conquer-prostate-cancer/</t>
  </si>
  <si>
    <t>7351 Kirkwood Ln N #130</t>
  </si>
  <si>
    <t xml:space="preserve">Miller Manufacturing is a manufacturer and distributor of farm, ranch and pet products, such as animal feed buckets, containers and other various supply tools. Miller acquired Lixit Animal Care Products, expanding into small-pets category. Lixit is relocating its operations to Miller's facilities in Glencoe, Minnesota. Miller plans to hire 30 more for the Lixit expansion. </t>
  </si>
  <si>
    <t>https://www.bizjournals.com/twincities/news/2025/09/09/miller-manufacturing-acquires-lixit-animal-care-pr.html</t>
  </si>
  <si>
    <t>1400 13th St W</t>
  </si>
  <si>
    <t>Winthrop &amp; Weinstine</t>
  </si>
  <si>
    <t>Winthrop &amp; Weinstine adds 10,000 square feet in Capella Tower. The firm hired 29 lawyers in 2025, reaching 188 total attorneys. The expansion accommodates growth and 17 employee babies born in 2025.  The Minneapolis-based firm is taking over half of the building’s 31st floor, in addition to floors 32 through 37 and  bringing its total square footage there to 115,000 square feet. The buildout of the new space will begin in early 2026.</t>
  </si>
  <si>
    <t>https://www.bizjournals.com/twincities/news/2025/12/23/winthrop-weinstine-expands-in-capella-tower.html</t>
  </si>
  <si>
    <t>225 S. 6th St</t>
  </si>
  <si>
    <t>Advanced Volumetric Alliance (AVA)</t>
  </si>
  <si>
    <t xml:space="preserve"> Advanced Volumetric Alliance (AVA) has been growing and is adding another 28 new jobs. AVAOP, LLC, located in Albertville, is a modular off-site building manufacturer. The company combines a modular, panelized, structural insulated panels, with site-built methods. This fully integrated process allows for faster, more cost-effective project delivery. Their training program for 28 new hires will focus on manufacturing operations and building skills. DEED awarded AVA a $200,000 JTIP training grant.</t>
  </si>
  <si>
    <t>6757 Karmen Ave NE</t>
  </si>
  <si>
    <t>JTIP</t>
  </si>
  <si>
    <t>CelluComp</t>
  </si>
  <si>
    <t>Sibley</t>
  </si>
  <si>
    <t>CelluComp, a leading supplier of materials for fiber-based barrier packaging, is expanding to the U.S. with its first commercial-scale facility in Renville. It will begin producing its patented micro-fibrillated cellulose product, Curran, at the 15,000-square-foot facility starting in May.  Curran is made by extracting cellulose from residual pulp of root vegetables, like sugar beets, which is then used in making high-quality fiber-based packaging as an alternative to plastics and PFAS chemicals. The Scottish business is partnering with Southern Minnesota Beet Sugar Cooperative. CelluComp plans to hire up to 24 new employees in the region.</t>
  </si>
  <si>
    <t>Chemicals (32519)</t>
  </si>
  <si>
    <t>https://www.packagingstrategies.com/articles/105458-cellucomp-to-produce-fiber-based-packaging-at-new-plant-in-minnesota</t>
  </si>
  <si>
    <t>Packaging Strategies</t>
  </si>
  <si>
    <t> 409 4th St</t>
  </si>
  <si>
    <t xml:space="preserve">City of Renville Business Innovation Grant </t>
  </si>
  <si>
    <t>U.K. (Scotland)</t>
  </si>
  <si>
    <t>Avonix Imaging</t>
  </si>
  <si>
    <t xml:space="preserve">Nikon subsidiary Avonix Imaging leased 80,000 square feet at the Maple Grove Industrial Center. Avonix will consolidate two locations and expand production and sales. The company plans to hire 20 more employees within a year.The newly leased facility will consolidate the two locations, which together had spanned 31,700 square feet. The company plans to move into their new space by July.  Avonix Imaging Inc manufactures industrial X-ray and CT scanning systems. </t>
  </si>
  <si>
    <t>Optical equipment</t>
  </si>
  <si>
    <t>https://www.bizjournals.com/twincities/news/2025/05/12/nikon-avonix-maple-grove-industrial-manufacturing.html</t>
  </si>
  <si>
    <t>11601 93rd Ave N</t>
  </si>
  <si>
    <t>Nikon</t>
  </si>
  <si>
    <t xml:space="preserve">Forvis Mazars </t>
  </si>
  <si>
    <t xml:space="preserve">Accounting heavyweight Forvis Mazars opens downtown Minneapolis office, expanding into new market. Company plans to grow local staff by 10-15 annually. Their new 4,200-square-foot office will be located on the ninth floor of the 100 building in the Fifth Street Towers. Forvis Mazars was formed following the 2023 merger announcement by Springfield, Missouri, U.S.-based Forvis and the Paris, France-based Mazars Group.  </t>
  </si>
  <si>
    <t>https://www.bizjournals.com/twincities/news/2025/07/18/forvis-mazars-accounting-downtown-minneapolis.html</t>
  </si>
  <si>
    <t xml:space="preserve">100 South 5th Street </t>
  </si>
  <si>
    <t>Forvis (Missouri), Mazars (Paris, France)</t>
  </si>
  <si>
    <t xml:space="preserve">Springfield MO and Paris </t>
  </si>
  <si>
    <t>Fit Butters</t>
  </si>
  <si>
    <t>Fit Butters will move to its own new 14,000 square foot manufacturing facility in  Brooklyn Center in February 2026. Fit Butters is a fast-growing brand that mixes nut butters with ingredients like chocolate chips or breakfast cereals.  In the new, larger facility, Bucki hopes to produce 5,000 jars per 10-hour shift. Fit Butters will hire about 10 people for production. Next year, Fit Butters plans to roll out single-serve squeeze packs, as a gateway into convenience stores.</t>
  </si>
  <si>
    <t>https://www.bizjournals.com/twincities/news/2025/11/06/fit-butters-ryan-bucki-brooklyn-center.html</t>
  </si>
  <si>
    <t>1600 67th Ave. N.</t>
  </si>
  <si>
    <t>Reema Health</t>
  </si>
  <si>
    <t>Reema, a Minneapolis startup seeking to improve health care and social care outcomes for hard-to-reach patients, has raised $19 million to expand its services and reach. The startup employs approximately 160 people, with about 30 working of its Minneapolis headquarters. They plan to hire five to 10 additional people in Minneapolis over the next year.</t>
  </si>
  <si>
    <t>https://www.bizjournals.com/twincities/news/2025/12/04/reema-health-19-million-funding.html</t>
  </si>
  <si>
    <t>2700 E. Lake St</t>
  </si>
  <si>
    <t>Rawlings</t>
  </si>
  <si>
    <t>Caledonia</t>
  </si>
  <si>
    <t>Rawlings manufactures all the high-end batters helmets for Major League Baseball. It just opened a new Miken Sports distribution center in Caledonia. The facility is more than concrete, steel and machinery. It represents growth, innovation and opportunity. They are looking to add up to 10 employees to the Caledonia location in the next year and plan to be operating at full capacity by May 2026.  The new facility will allow all products to be under one roof, increasing efficiency.</t>
  </si>
  <si>
    <t>Toys, Sports Equipment</t>
  </si>
  <si>
    <t>https://www.hometownsource.com/caledonia/rawlings-miken-unveils-completed-facility-at-ribbon-cutting/article_9eafdcdd-2404-4fa4-ac2e-106b027687f0.html</t>
  </si>
  <si>
    <t>131 Bissen St,</t>
  </si>
  <si>
    <t>Mold-Tech</t>
  </si>
  <si>
    <t>A new tax increment financing district over nine years has been approved for Mold-Tech, Inc., a move that will help the mold-making company fund a significant expansion at their business in Albertville. TIF will fund about $323,000 for the project. The Albertville City Council unanimously approved the request noting that  Mold-Tech might otherwise expand elsewhere. Mold-Tech's will build a 16,800 sqft addition and a 4,700 sqft mezzanine to increase production capacity.</t>
  </si>
  <si>
    <t>https://infoweb.newsbank.com/apps/news/document-view?p=NewsBank&amp;docref=news/1A10B771A7961050&amp;f=basic</t>
  </si>
  <si>
    <t>Crow River News (via Newsbank)</t>
  </si>
  <si>
    <t>5166 Barthel Industrial Drive NE.</t>
  </si>
  <si>
    <t>Egon Zehnder</t>
  </si>
  <si>
    <t>Consulting firm Egon Zehnder has opened a downtown Minneapolis office, marking the Swiss company's 13th U.S. location - and therefore will move from its space at the Life Time Work. Egon Zehnder specializes in organizational consulting and leadership advisory services. Egon plans to hire about four more consultants and a number of other positions. The new office will serve both Minneapolis and St. Paul, as well as the broader Midwest.</t>
  </si>
  <si>
    <t>https://www.bizjournals.com/twincities/news/2025/10/17/egon-zehnder-minneapolis-office.html</t>
  </si>
  <si>
    <t>30 South 9th St, 7th Floor</t>
  </si>
  <si>
    <t>RDO Equipment</t>
  </si>
  <si>
    <t xml:space="preserve">RDO Equipment Co. produces IoT goods such as agriculture, construction, environmental, irrigation, positioning, and surveying equipment from leading manufacturers. Grand opening of their expanded facility in Mankato. The remodel tripled the North Mankato RDO store's service shop and parts warehouse square footage. RDO is one of the largest John Deere dealerships in the US. As a result of the expansion, RDO added three employees bringing its staff to 22 people. </t>
  </si>
  <si>
    <t>https://www.rdoequipment.com/resources/blogs/minnesota-heavy-equipment-store-remodel-triples-square-footage-adds-wirtgen-group</t>
  </si>
  <si>
    <t>1910 Lor Ray Dr</t>
  </si>
  <si>
    <t>Green Cross</t>
  </si>
  <si>
    <t>An indoor cannabis cultivation facility is slated to join St. Joseph's business community. If the proposal gets state approval as expected,  the facility could open as early as December. The St. Joseph City Council unanimously approved a conditional use permit for Green Cross to open a cannabis cultivation facility. Green Cross is expected to rent 3,300 square feet of the building. The cultivation facility plans to serve customers in Minneapolis. Two employees will run the facility.</t>
  </si>
  <si>
    <t>https://www.proquest.com/docview/3251561126?accountid=45111&amp;parentSessionId=bLUSg2LlXjRvsEgxL1Y2udlkIkTanJ8WL0WuVvlZKuc%3D&amp;sourcetype=Newspapers</t>
  </si>
  <si>
    <t>417 First Ave. NE.</t>
  </si>
  <si>
    <t>Opus</t>
  </si>
  <si>
    <t>The Opus Group plans to replace an aging Edina office site with a 112,000-square-foot office building at 5100 Eden Ave, a portion of which would serve as the developer's new headquarters. Opus would be a lead tenant — occupying about 30% of the building (or about 33,600 sqft)— and relocate its headquarters from Minnetonka. If approved, the project is expected to break ground in summer 2025 and be complete in late 2026.</t>
  </si>
  <si>
    <t>https://www.bizjournals.com/twincities/news/2025/01/08/opus-plans-edina-headquarters-office-highway-100.html</t>
  </si>
  <si>
    <t>5100 Eden Ave</t>
  </si>
  <si>
    <t>Interstate Bearing Systems</t>
  </si>
  <si>
    <t>Interstate Bearing Systems, based in Waite Park, broke ground in December at a new location in St. Joseph to help consolidate the comany's operations from two buildings to one.. The new structure will increase by 50% to 15,000 square feet. The new structure provides added office space and meeting rooms.  Interstate Bearing Systems manufactures items like bearings, electric motors and power transmission products. Its new location is estimated to open this summer.</t>
  </si>
  <si>
    <t>https://www.sctimes.com/story/news/local/2025/01/10/interstate-bearing-systems-moving-to-st-joseph-mn/77484579007/</t>
  </si>
  <si>
    <t>Medical technology manufacturer Intricon Corp. is expanding its headquarters in Arden Hills. The company signed a new 11-year lease that will add 28,000 square feet to the company's existing 47,000-square-foot footprint in the building; Intricon now accounts for 80% of the property's space. At Intricon's expanded headquarters and existing offices will be moved to the new space, allowing for the production and engineering lab areas to increase. The company has over 500 local employees.</t>
  </si>
  <si>
    <t>https://www.bizjournals.com/twincities/inno/stories/news/2025/01/23/intricon-expands-headquarters-arden-hills.html?utm_source=st&amp;utm_medium=en&amp;utm_campaign=me&amp;utm_content=MN&amp;ana=e_MN_me&amp;j=38326361&amp;senddate=2025-01-24&amp;empos=p4</t>
  </si>
  <si>
    <t>Danfoss Power Solutions</t>
  </si>
  <si>
    <t xml:space="preserve">Denmark manufacturer Danfoss will close its Eden Prairie campus, laying off 110 employees and moving the rest to its Plymouth campus that it's expanding. Danfoss Power Solutions designs and manufactures engineered components like hydraulic products, electric and industrial motors and more. The division will relocate its engineering and administrative teams from its Eden Prairie campus to its Plymouth campus, where it plans to build out a facility next to its existing location at 3500 Annapolis Lane N. </t>
  </si>
  <si>
    <t>https://www.bizjournals.com/twincities/news/2025/01/24/danfoss-to-close-eden-prairie-campus-layoffs.html</t>
  </si>
  <si>
    <t>3500 Annapolis Lane N</t>
  </si>
  <si>
    <t>HM Cragg</t>
  </si>
  <si>
    <t>Edina-based HM Cragg will move into a 92,224-square-foot facility in Eden Prairie currengly under development. Construction work, including demolishing the existing buildings on the site, begins in March. Construction is expected to be complete by the end of 2025. HM Cragg sells, installs and services backup power systems. HM Crgg will relocate about 50 employees from its current headquarters in Edina, expected in the first quarter of 2026. HM Cragg also has another facility in Shakopee.</t>
  </si>
  <si>
    <t>https://www.bizjournals.com/twincities/news/2025/01/27/hm-edina-eden-prairie-american-family-industrial.html</t>
  </si>
  <si>
    <t xml:space="preserve">6131 Blue Circle Drive </t>
  </si>
  <si>
    <t>Buddy's Kitchen</t>
  </si>
  <si>
    <t>Buddy’s Kitchen, a frozen food manufacturer that has facilities in Burnsville and Lakeville, plans to build a new facility at the former Blue Cross Blue Shield campus in Eagan. Involves demolishing an existing building and constructing a new 282,000-square-foot production facility that would hire 650 employees across three work shifts.  About 35,000 square feet would be office space while the remaining footprint will be used for production, warehousing and distribution. Anticipate starting construction in 2026 and starting operations in 2027.</t>
  </si>
  <si>
    <t>https://finance-commerce.com/2025/02/eagan-food-production-facility-bcbs-campus/</t>
  </si>
  <si>
    <t>3535 Blue Cross Road</t>
  </si>
  <si>
    <t>Bibliotheca</t>
  </si>
  <si>
    <t>Lake Elmo</t>
  </si>
  <si>
    <t xml:space="preserve">Bibliotheca, a library technology service company, is the first tenant in a new, 150,000-square-foot property in Lake Elmo. Bibliotheca will lease 10,000 square feet of office space and 22,000 square feet of industrial space in a newly built warehouse.  The move allows the company to consolidate operations to one location. A ribbon cutting ceremony was held on February 6. Bibliotheca works with 30,000 libraries around the globe to make the library experience seamless, intuitive, and inclusive. </t>
  </si>
  <si>
    <t>Computer programming</t>
  </si>
  <si>
    <t>https://transwestern.com/news-detail/bibliotheca-consolidates-operations-with-new-32-000-sf-lease-in-lake-elmo</t>
  </si>
  <si>
    <t>Transwestern</t>
  </si>
  <si>
    <t>11190 Hudson Blvd</t>
  </si>
  <si>
    <t>Flexible office space company International Workplace Group, (IWG) will add five new Twin Cities locations this year. The Switzerland-based company announced it will be opening flexible workspaces under its Regus brand. The additions bring IWG's portfolio of workspaces in Minnesota to more than 20. The new locations will be in Bloomington, Minneapolis' North Loop neighborhood, in downtown St. Cloud,  Hastings and Eagan.</t>
  </si>
  <si>
    <t>https://www.bizjournals.com/twincities/news/2025/02/20/iwg-adds-5-coworking-locations-in-the-twin-cities.html</t>
  </si>
  <si>
    <t>7825 Washington Ave. S</t>
  </si>
  <si>
    <t>333 Washington Ave. N.</t>
  </si>
  <si>
    <t>501 St. Germain St. W</t>
  </si>
  <si>
    <t>1640 Frontage Road S.</t>
  </si>
  <si>
    <t>2640 Eagan Woods Drive</t>
  </si>
  <si>
    <t>EDCO Products</t>
  </si>
  <si>
    <t xml:space="preserve">EDCO Products offers steel roofing, siding and other exterior building products. EDCO plans to build a 240,000-square-foot building to a 28-acre farm site in Chaska which includes enough room for a future expansion of up to 120,000 square feet. About 155 employees would work at the new Chaska location. The new building would house office, manufacturing and warehouse operations, replacing one of EDCO’s two existing facilities in Hopkins. </t>
  </si>
  <si>
    <t>Iron, Steel Products</t>
  </si>
  <si>
    <t>https://finance-commerce.com/2025/03/chaska-edco-manufacturing-facility-expansion/</t>
  </si>
  <si>
    <t>Creek Road, Engler Boulevard, and the Chaska Creek Center.</t>
  </si>
  <si>
    <t>(requested TIF. Eligible for $1.64M 8/2025)</t>
  </si>
  <si>
    <t>Dakota Electric Association</t>
  </si>
  <si>
    <t>Dakota Electric Association, a prominent south metro energy cooperative, bought land in Lakeville for $11.9 million. The property will serve as the group’s future headquarters.  The building would be 176,700 square feet, complete with space for office workers, as well as warehouse and storage space. Groundbreaking in June, anctipated completion of construction in summer 2027.</t>
  </si>
  <si>
    <t>https://finance-commerce.com/2025/04/dakota-electric-lakeville-headquarters-land-sale/</t>
  </si>
  <si>
    <t xml:space="preserve"> 6919 225th Street West.</t>
  </si>
  <si>
    <t>Legrand</t>
  </si>
  <si>
    <t>Legrand, a French manufacturer of electrical and digital infrastructure products, will move into a 98,000-square-foot building in Minnetonka, which accommodates up to 350 employees. Legrand signed a 10-year lease for the entire building at 10900 Red Circle Drive.  The space will serve as Legrand’s regional headquarters. The buildout is underway, with an expected move-in this summer. Legrand has 3 locations in the state, and executives from the Eden Prairie location will move to this new site.</t>
  </si>
  <si>
    <t>https://www.bizjournals.com/twincities/news/2025/04/28/legrand-move-minnetonka-manufacturer-opus-park.html</t>
  </si>
  <si>
    <t>10900 Red Circle Drive</t>
  </si>
  <si>
    <t>Arctic Cat</t>
  </si>
  <si>
    <t>Arctic Cat plans to expand its workforce at its engine facility in St. Cloud.</t>
  </si>
  <si>
    <t>https://tcbmag.com/arctic-cats-new-owner-to-rehire-about-500/</t>
  </si>
  <si>
    <t xml:space="preserve">6801 Glenn Carlson Dr, </t>
  </si>
  <si>
    <t>Waggle</t>
  </si>
  <si>
    <t xml:space="preserve">Waggle, a golf and lifestyle brand, is relocating its headquarters to Blaine to a leased 45,024 square feet commercial space currently under construction. After a 3 year search, Waggle signed with Radisson Road Business Center and will move from its current 30,000-square-foot headquarters in Roseville. The business center is expected to be competed in October 2025.  The new space includes 10,000 square feet for offices, 27,000 square feet for a warehouse and a 2,300-square-foot retail shop. 
 </t>
  </si>
  <si>
    <t>DW, HQ, OF</t>
  </si>
  <si>
    <t>https://www.bizjournals.com/twincities/news/2025/05/09/waggle-new-headquarters-blaine.html</t>
  </si>
  <si>
    <t>3100 101st Avenue NE</t>
  </si>
  <si>
    <t xml:space="preserve">Amazon.com acquired 23 acres of land near the Rochester International Airport for $2.5 million to open a last-mile delivery center. The vacant site had been annexed into the city of Stewartville. Ryan Cos. is developing the project, called Project Tiger, with an 83,900-square-foot building on the site. </t>
  </si>
  <si>
    <t>https://www.bizjournals.com/twincities/news/2025/05/15/amazon-buys-land-for-warehouse-near-rochester.html</t>
  </si>
  <si>
    <t>Veterinary Pharmaceutical Solutions</t>
  </si>
  <si>
    <t>St. Peter</t>
  </si>
  <si>
    <t xml:space="preserve">Veterinary Pharmaceutical Solutions celebrated their expansion that nearly doubling the company's presence in St. Peter, as well as their 30 year history. Customers could tour the newly opened 8,400-square-foot expansion to VPS' facility. The expansion features additional compound bays, warehouse space and R&amp;D facilities. The expansion was driven by the company's growing line of veterinary medicines. </t>
  </si>
  <si>
    <t>https://infoweb.newsbank.com/apps/news/document-view?p=NewsBank&amp;docref=news/1A09A9BA79DB0518&amp;f=basic</t>
  </si>
  <si>
    <t>Post Bulletin (via Newsbank)</t>
  </si>
  <si>
    <t>2008 Sunrise Dr</t>
  </si>
  <si>
    <t>Volk Transfer</t>
  </si>
  <si>
    <t>Mankato-based logistics company Volk Transfer Co. has acquired a 300,000-square-foot distribution center to become its new corporate headquarters and operations base.  The building will undergo a full office renovation, as well as other updates; and will expand Volk's operational capacity. Volk Transfer currently resides in a 50,000-square-foot space elsewhere in Mankato where it has operated since 2011. Volk will maintain ownership of that space.</t>
  </si>
  <si>
    <t>https://www.bizjournals.com/twincities/news/2025/05/22/volk-transfer-buys-300-000-sq-ft-headquarters.html</t>
  </si>
  <si>
    <t>2415 Third Ave.,</t>
  </si>
  <si>
    <t>Nextera Packaging</t>
  </si>
  <si>
    <t>Endeavor Development plans to break ground this month on a 100,000-square-foot corporate headquarters for Nextera Packaging, a food packaging company. The build-to-suit property's  construction is expected to be completed and Nextera's move-in are slated for spring 2026. Nextera would relocate its HQ from Vadnais Heights. The new facility will support Nextera's growth and expansion in the region. The 47-person company provides food packaging products, including custom services.</t>
  </si>
  <si>
    <t xml:space="preserve">Food packaging </t>
  </si>
  <si>
    <t>https://www.bizjournals.com/twincities/news/2025/05/23/endeavor-food-package-headquarters-white-bear.html</t>
  </si>
  <si>
    <t xml:space="preserve">5300 Centerville Road, </t>
  </si>
  <si>
    <t>Amazon plans to build a new 41,000-square-foot delivery station in Grand Rapids. No specific employment plans were released but Amazon delivery stations generally employ 150-200 people.
Grand Rapids is a regional hub for economic growth in Itasca County, and gaining an Amazon delivery station will provide additional job growth to the area and contribute significantly to the tax base of the community. Construction began earlier this month, but launch plans are in the very early stages.</t>
  </si>
  <si>
    <t>https://www.kaxe.org/local-news/2025-05-29/amazon-delivery-station-to-be-built-in-grand-rapids</t>
  </si>
  <si>
    <t>KAXE</t>
  </si>
  <si>
    <t xml:space="preserve"> 3000 Southeast 6th Ave. </t>
  </si>
  <si>
    <t>Associated Bank</t>
  </si>
  <si>
    <t>Associated Banc-Corp (NYSE: ASB) is moving its local headquarters in downtown Minneapolis. The Green Bay, Wisconsin-based bank is leasing the entire 43rd floor of IDS Center - about 25,000 square feet - roughly twice the size of its current space at PWC Plaza. Construction is expected to start in August and Associated plans to relocate about 100 employees to the new space next spring. Minneapolis is a priority market for Associated Bank.</t>
  </si>
  <si>
    <t>https://www.bizjournals.com/twincities/news/2025/06/12/associated-bank-ids-center-local-headquartres.html</t>
  </si>
  <si>
    <t>80 S. Eighth St</t>
  </si>
  <si>
    <t>Kreofsky Building Supplies</t>
  </si>
  <si>
    <t>Kreofsky Building Supplies is planning a significant expansion at its Rochester location as they have outgrown their current facility. They plan to expand their 6,400-square-foot Rochester center to 9,800 square feet; and to build a new 10,500-square-foot warehouse, next door to the showroom. The project will remodel offices and create a larger showroom. KBS carries building supplies such as lumber, plywood, windows, doors, and millwork. They expect to complete and move into the updated facilities in early 2026.</t>
  </si>
  <si>
    <t>Building Supplies</t>
  </si>
  <si>
    <t>https://infoweb.newsbank.com/apps/news/document-view?p=NewsBank&amp;docref=news/1A14741871F0B2D0&amp;f=basic</t>
  </si>
  <si>
    <t>3731 Enterprise Drive SW</t>
  </si>
  <si>
    <t>Lactalis</t>
  </si>
  <si>
    <t>General Mills finalized the sale of its U.S. yogurt business for $2.1 billion to Lactalis, after 50 years of selling Yoplait. The French dairy giant has opened a Minnetonka office from where the roughly 200 Minnesota-based and remote employees from General Mills will run Lactalis' new Midwest Yogurt division. Lactalis is the world’s largest dairy company and had $35 billion in revenue globally last year. The company plans to invest heavily in innovation and manufacturing for the new brands.</t>
  </si>
  <si>
    <t>https://www.startribune.com/general-mills-yogurt-yoplait-sale-lactalis-usa-minnetonka-office-gogurt-mountain-high/601384023</t>
  </si>
  <si>
    <t>White Cap Supply</t>
  </si>
  <si>
    <t xml:space="preserve">The Jet 6 Tech Center, a 2025-built warehouse in Plymouth, has found itself a tenant in White Cap Supply, a building materials supplier. the 90,000-square-foot Jet 6 Tech Center has eight loading docks with a 28 foot clearing height. The site is visible from Highway 55 creating ease of access to the transit corridor. </t>
  </si>
  <si>
    <t>WD</t>
  </si>
  <si>
    <t>https://finance-commerce.com/2025/07/white-cap-lease-jet-6-tech-center-plymouth/</t>
  </si>
  <si>
    <t xml:space="preserve">13135 County Road 6 </t>
  </si>
  <si>
    <t>Barr Engineering</t>
  </si>
  <si>
    <t>Barr Engineering Co. celebrated their move into a new field office at the Airpark. The new 22,000-square-foot leased space is a significant increase from the company's previous 4,800-square-foot field office. The additional  space enables Barr to expand its engineering and environmental services to numerous public and private clients.  The new space features conference rooms, offices, a lab and a large cooler to hold field samples, as well as equipment and related supplies that support Barr's on-site project work.</t>
  </si>
  <si>
    <t>https://infoweb.newsbank.com/apps/news/document-view?p=NewsBank&amp;docref=news/1A1E8F09C8992C00&amp;f=basic</t>
  </si>
  <si>
    <t>Duluth News Tribune (via NewsBank)</t>
  </si>
  <si>
    <t>4503 Airpark Blvd.</t>
  </si>
  <si>
    <t>Leonardo DRS</t>
  </si>
  <si>
    <t xml:space="preserve">Arlington, Virginia-based L Leonardo DRS, a defense-technology manufacturer has signed a nearly 50,000-square-foot 10-year lease in Eagan. Leonardo DRS plans to move to the Grand Oak Business Park in Eagan this fall. The company is a subsidiary of Italian defense contractor Leonardo SpA  and will relocate from Burnsville. That facility includes engineering labs which develop technology to support Naval Combat Systems for the Undersea and Surface fleets as well as RF systems development. </t>
  </si>
  <si>
    <t>https://www.bizjournals.com/twincities/news/2025/07/28/leonardo-drs-defense-tech-eagan-office-lease.html</t>
  </si>
  <si>
    <t>2750 Blue Water Road</t>
  </si>
  <si>
    <t>Leonardo SpA</t>
  </si>
  <si>
    <t>Sno Pac Foods</t>
  </si>
  <si>
    <t>Sno Pac Foods plans to build a 30,000-square-foot cold storage facility in Caledonia, near its existing facility. Sno Pac has been operating in the area for over a century and was the world's first grower of organic frozen vegetables. Sno-Pac received $1.57 million through the Resilient Food Systems Infrastructure (RFSI) Program from US Dept of Ag and MN Dept of Ag. RFSI aims to strengthen supply chains for local and regional food systems. Groundbreaking was 9/5/2025.</t>
  </si>
  <si>
    <t>https://fillmorecountyjournal.com/sno-pac-foods-to-expand-facilities-in-caledonia/#:~:text=August%204%2C%202025%20by%20Charlene,item%20moved%20to%20new%20business.</t>
  </si>
  <si>
    <t>Fillmore County Journal</t>
  </si>
  <si>
    <t>521 Enterprise Drive</t>
  </si>
  <si>
    <t>USDA/MDA</t>
  </si>
  <si>
    <t>Bora Pharmaceuticals</t>
  </si>
  <si>
    <t xml:space="preserve">Bora Pharmaceuticals, based in Taiwan, is one of the global leaders in pharmaceutical manufacturing. Bora is planning a 100,000 sqft addition to its facility in Maple Grove and a purchase of new roller compactor equipment. Bora acquired generic drug maker Upsher-Smith and its Maple Grove manufacturing facility last year. Growth is due to a surging demand for drugs in pill or capsule form — known in the industry as “oral solid dosage” or OSD. </t>
  </si>
  <si>
    <t>https://ccxmedia.org/news/bora-pharmaceuticals-announces-major-expansion-of-maple-grove-plant/</t>
  </si>
  <si>
    <t>6701 Evenstad Dr N</t>
  </si>
  <si>
    <t>Taiwan</t>
  </si>
  <si>
    <t>Daedex</t>
  </si>
  <si>
    <t>Maple Grove-based Daedex, a national custom data center cooling equipment manufacturer and subsidiary of MAS HVAC, has signed a long-term lease for 503,440 square feet at The Cubes at French Lake. Daedex's lease affirms commitment to supplying U.S. data center industry. Daedex provides custom energy-recovery, air-movement and heat-exchange solutions for large, commercial air conditioning equipment.</t>
  </si>
  <si>
    <t>https://www.bizjournals.com/twincities/news/2025/08/11/daedex-mas-hvac-data-center-dayton-development.html</t>
  </si>
  <si>
    <t>11500 Lawndale Ave</t>
  </si>
  <si>
    <t>Trelleborg Medical Solutions</t>
  </si>
  <si>
    <t>Trelleborg Medical Solutions announces the significant expansion of its Innovation Center in Minnesota. The Innovation Center will be relocated from Plymouth to a new purpose-built space in nearby Delano comprising over 45,000 square feet. The former location will be remodeled to expand to 6,000 square feet. New construction will house a visitor center and new additional high-end Swiss machining, injection molding and increased space for the automation laboratory.  The project will start in spring 2026 and be completed in early 2027.</t>
  </si>
  <si>
    <t>https://www.medicaldesignandoutsourcing.com/trelleborg-delano-innovation-center-expansion/</t>
  </si>
  <si>
    <t>Trelleborg AB</t>
  </si>
  <si>
    <t>Trelleborg</t>
  </si>
  <si>
    <t>Centra</t>
  </si>
  <si>
    <t>Centra purchased a 10-acre site in Eagan for $17 million where it plans to operate a 150,000-square-foot data center in an existing building. Construction to retrofit the building for its own  data center has begun. Centra's 12-megawatt data center “will serve as a critical hub for seamless, high-performance connectivity in the Midwest.” The facility offers colocation and is carrier neutral.  Centra expects to open the Eagan facility in the second quarter of 2026.</t>
  </si>
  <si>
    <t>https://www.bizjournals.com/twincities/news/2025/08/12/centra-data-center-thomson-reuters-eagan-site.html</t>
  </si>
  <si>
    <t>610 Opperman Drive.</t>
  </si>
  <si>
    <t>Washington DC</t>
  </si>
  <si>
    <t>First Supply</t>
  </si>
  <si>
    <t>First Supply, a construction-supply distributor, is moving to St. Louis Park. First Supply is a family-owned wholesaler that sells HVAC, plumbing, lighting, septic and other supplies. The outpost will have a roughly 5,200-square-foot showroom and a nearly 12,000-square-foot warehouse. It’s slated to open sometime next month. The new branch will be about 2,500 square feet larger than the Champlin location.</t>
  </si>
  <si>
    <t>WD, Retail</t>
  </si>
  <si>
    <t>https://www.bizjournals.com/twincities/news/2025/08/19/first-supply-st-louis-park-champlin-move.html</t>
  </si>
  <si>
    <t>7003 W. Lake St.</t>
  </si>
  <si>
    <t>Madison</t>
  </si>
  <si>
    <t>Vanguard Renewables</t>
  </si>
  <si>
    <t>Vanguard Renewables LLC of Weston, MA, plans to construct a large anaerobic digestion facility on land leased from the Wagner Family Dairy, in Litchfield.The digester will process manure and organic food wastes abd produce renewable natural gas that will be injected into a CenterPoint natural gas line - and that is expected to heat 1,600 homes each year. The MPCA found no significant environmental impacts from the project, which is Vanguard's second biodigester in Meeker County. Its other digester is near Eden Valley.</t>
  </si>
  <si>
    <t>Natural Gas</t>
  </si>
  <si>
    <t>https://infoweb.newsbank.com/apps/news/document-view?p=NewsBank&amp;docref=news/1A2C0ED3A2B256E8&amp;f=basic</t>
  </si>
  <si>
    <t>Massachusetts</t>
  </si>
  <si>
    <t>Archer Datacenters</t>
  </si>
  <si>
    <t>A proposed data center in Faribault has cleared the environmental review process and is up for the next round of city approvals. The planned Archer Datacenters Faribault Campus project calls for  500,000 square feet of data center buildings to an 84.3-acre site south of 150th Street West and east of Acorn Trail.  A deciding factor in the site location was the collaborative approach to power procurement that we are undertaking with Steele-Waseca Co-op Electric and Great River Energy.</t>
  </si>
  <si>
    <t>https://finance-commerce.com/2025/09/faribault-data-center-twin-cities-growth/</t>
  </si>
  <si>
    <t>Kemps</t>
  </si>
  <si>
    <t>Dairy company Kemps has signed a 15-year lease to occupy an over 8-acre site that will be a distribution hub in Minneapolis. When purchased by the previous owner (Zenith), the site had included a 40,000-square-foot building on the northern part of the site and an over 20,000-square-foot warehouse on the southern portion. Zenith retrofitted the yard and existing building in the northern part of the site for Kemps. Kemps began moving into the site earlier this month. The facility will support Kemps’ nearby bottling facility.</t>
  </si>
  <si>
    <t>https://www.bizjournals.com/twincities/news/2025/09/17/kemps-lease-dairy-north-minneapolis-river-site.html</t>
  </si>
  <si>
    <t>3018 Pacific St. N</t>
  </si>
  <si>
    <t>Stagwell</t>
  </si>
  <si>
    <t>New York-based marketing firm Stagwell Inc. is leasing 50,000 square feet on floors two through four in Minneapolis' Wheelhouse building. It’s unclear if Stagwell previously had an office presence in the Twin Cities. The Minnesota Twins launched a shared augmented reality platform at Target Field in 2022; a platform that was developed by ARound, which is part of Stagwell.</t>
  </si>
  <si>
    <t>https://www.bizjournals.com/twincities/news/2025/10/03/north-loop-office-lease-stagwell-wheelhouse-tenant.html</t>
  </si>
  <si>
    <t>250 Third Ave. N.</t>
  </si>
  <si>
    <t>OZ Lifting Products</t>
  </si>
  <si>
    <t>Winona's OZ Lifting Products moved to 1213 Innovation Drive in March. The new facility was extensively renovated. One-eighth of the facility is office space. The facility houses engineering, component testing, R&amp;D, assembly, finished product testing, and inventory control. The building offers about 40,000 square feet, much larger than its former space of 15,000 square feet. 
The new location allows for all of the business' products to be stored under one roof.</t>
  </si>
  <si>
    <t>https://www.ozliftingproducts.com/open-house-oz-lifting-showcases-gleaming-new-facility/</t>
  </si>
  <si>
    <t>1213 Innovation Drive</t>
  </si>
  <si>
    <t>Buske Logistics</t>
  </si>
  <si>
    <t>Buske Logistics, an Edwardsville, Illinois-based logistics company, signed a long term lease to occupy the entire 100,000-square-foot building at 2985 Commers. Buske now has three locations in the Twin Cities, including two in Eagan. It's unclear whether this latest lease represents an additional location or a consolidation for Buske.</t>
  </si>
  <si>
    <t>https://www.bizjournals.com/twincities/news/2025/10/14/hempel-buske-eagan-industrial-tenant-twin-cities.html</t>
  </si>
  <si>
    <t>2985 Commers</t>
  </si>
  <si>
    <t>Edwardsville</t>
  </si>
  <si>
    <t>EGA Spectro Alloys</t>
  </si>
  <si>
    <t>EGA Spectro Alloys is embarking on phase two of its recycling expansion. The project will add about 100 million pounds of annual billet recycling capacity, nearly doubling Spectro's billet capacity. The project is expected to be completed in 2027. Phase two – located within the same plant – also includes an additional scrap melting furnace with automated charging, stirring and skimming, and a homogenizer. EGA Spectro Alloys is 80% owned by Emirates Global Aluminium,</t>
  </si>
  <si>
    <t>https://www.spectroalloys.com/en/news/ega-spectro-alloys-launches-recycling-expansion</t>
  </si>
  <si>
    <t>BioLabs</t>
  </si>
  <si>
    <t>BioLabs, an international operator of robotically optimized shared laboratory spaces for medical and life science startups, will open a 16,000-square-foot space in the Two Discovery Square building. The location will be BioLabs’ first site in the Midwest. The coworking space will give access to “state-of-the-art lab equipment” as well as support services. DMC Strategic Redevelopment Funds in support of Biolabs: $8 million. approved by City of Rochester June 2025.</t>
  </si>
  <si>
    <t>https://finance-commerce.com/2025/11/biolabs-rochester-discovery-square-opening/</t>
  </si>
  <si>
    <t>415 2nd Avenue SW</t>
  </si>
  <si>
    <t>DMC/City of Rochester</t>
  </si>
  <si>
    <t xml:space="preserve">Graco plans to construct a 3-story, 96,000 office building, to serve as its new global headquarters. Graco currently has nearly 980,000 sq. ft. of building space across an office and manufacturing facility and a distribution center on the site in question. The new headquarters could  host 293 employees and visitors. An additional proposed facility would house warehouse or distribution uses. Graco expects to move into the new HQ in early or mid-2027. </t>
  </si>
  <si>
    <t>https://www.bizjournals.com/twincities/news/2025/11/10/graco-plans-headquarters-dayton-minneapolis-site.html</t>
  </si>
  <si>
    <t>12225 W. French Lake Road</t>
  </si>
  <si>
    <t>Cossetta</t>
  </si>
  <si>
    <t>St. Paul's century-old Cossetta is opening a 15,000-square-foot production facility dedicated to making its award-winning panettone, the traditional Italian holiday bread. The warehouse and kitchen will be a major part in a multiyear long initiative to sell Cossetta Italian goods nationwide. Phase one of Cossetta’s e-commerce plan launches Dec. 1. The panettone laboratory, as Cossetta refers to the kitchen, is chockfull of imported ingredients and equipment straight from Italy, including 500-pound mixers.</t>
  </si>
  <si>
    <t>https://www.bizjournals.com/twincities/news/2025/11/19/cossetta-panettone-production-facility.html</t>
  </si>
  <si>
    <t>221 Exchange St</t>
  </si>
  <si>
    <t>PHS West</t>
  </si>
  <si>
    <t>Corcoran</t>
  </si>
  <si>
    <t>PHS West, a manufacturer of equipment for the data-center industry, has signed a lease to occupy 91,000 square feet of the under-development Brockton Business Park in Corcoran.  The site will become the new PHS headquarters. The growth of the data-center industry is fueling PHS’s expansion. The new facility will allow the company to scale its production work, accelerate R&amp;D. The company is owned by Swedish corporate group Amplex.</t>
  </si>
  <si>
    <t>https://www.bizjournals.com/twincities/news/2025/11/21/corcoran-business-park-brockton-hempel-tpg-lease.html</t>
  </si>
  <si>
    <t xml:space="preserve"> 10585 County Road 101</t>
  </si>
  <si>
    <t>Amplex</t>
  </si>
  <si>
    <t>Cirrus (via Hawkline II LLC)</t>
  </si>
  <si>
    <t>West Duluth</t>
  </si>
  <si>
    <t xml:space="preserve">Hawkline II LLC bought a vacant West Duluth warehouse for $5.7 million. Cirrus needed more warehouse space for production of their parachutes, so arranged for the purchase by Hawkline and lease back of 4506 W. First St. to Cirrus. Cirrus also leases space in Duluth’s 36-acre Hawkline Business Park. The warehouse includes 22,000 square feet of office space and 40,400 square feet of warehouse space. </t>
  </si>
  <si>
    <t>https://finance-commerce.com/2025/11/duluth-warehouse-sale-cirrus-expansion/</t>
  </si>
  <si>
    <t>4506 W. First St. </t>
  </si>
  <si>
    <t>China Aviation Industry General Aircraft Co., Ltd. (CAIGA).</t>
  </si>
  <si>
    <t>Flexible-office space company International Workplace Group PLC, based in Switzerland, plans to open a new 30,000-square-foot Regus location at SPS Tower in downtown Minneapolis. Switzerland-based IWG’s new location will occupy the 21st and 22nd floors of the 31-story Class A tower, located at 333 Seventh St. S. The facility, expected to open early next year, will have private offices, meeting rooms as well as coworking and creative spaces.</t>
  </si>
  <si>
    <t>333 S. 7th St</t>
  </si>
  <si>
    <t>Border Foods</t>
  </si>
  <si>
    <t>An entity related to Border Foods, one of the largest Taco Bell franchisees in the country, has bought a 17,291-square-foot warehouse in New Hope, adjacent to the company’s existing 12,000-square-foot office headquarters. The warehouse needs improvements, such as HVAC upgrades and other renovations needed to meet operational needs. The new site helps Border Foods secure a strategic expansion site and will be used as a regional distribution center.</t>
  </si>
  <si>
    <t>https://finance-commerce.com/2025/12/border-foods-new-hope-bemidji-apartment-sale/</t>
  </si>
  <si>
    <t>5410 International Parkway</t>
  </si>
  <si>
    <t>Nelson-Rudie</t>
  </si>
  <si>
    <t>Nelson-Rudie, an engineering firm, relocated its headquarters to a 23,000-square-foot space in St. Louis Park’s Metropoint campus last month. The move relocates its 67 headquarters employees from its former location in New Hope, and increases the company’s square footage significantly (up from 14,000 square feet). Nelson-Rudie's design team provides structural, MEP, and refrigeration engineering services.</t>
  </si>
  <si>
    <t>https://www.businessnorth.com/daily_briefing/iron-range-pellets-to-feed-u-s-steels-granite-city-blast-furnace/article_1a0bcfa3-15d7-4c40-a42e-edeb8c8d41ed.html</t>
  </si>
  <si>
    <t>400 Highway 169 S</t>
  </si>
  <si>
    <t>NPL Construction</t>
  </si>
  <si>
    <t>NPL Construction was issued a building permit in October for the construction of a 11,500-square-foot office/warehouse/storage building to be located immediately east of NPL's current location at 8190 215th Street West.</t>
  </si>
  <si>
    <t>https://www.lakevillemn.gov/DocumentCenter/View/18397/Thrive-January-2026-PDF</t>
  </si>
  <si>
    <t>8190 215th St W</t>
  </si>
  <si>
    <t>Twin City Hide</t>
  </si>
  <si>
    <t>Based in South St. Paul, sister companies Twin City Hide cleans and preserves cow hides and Twin City Tanning turns cow hides into leather. Campus improvements in the past decade include  a 45,817-square-foot hide processing facility (completed in 2024). The company has also installed “state-of-the-art” odor-control technology and new drums.</t>
  </si>
  <si>
    <t>Hides, Skins</t>
  </si>
  <si>
    <t>https://finance-commerce.com/2026/04/twin-city-hide-seeks-more-time-for-south-st-paul-warehouse/?utm_medium=FNC&amp;utm_source=Act-On+Software&amp;utm_content=Editorial&amp;utm_term=Twin%20City%20Hide%20seeks%20more%20time%20for%20South%20St.%20Paul%20warehouse&amp;utm_campaign=Twin%20City%20Hide%20seeks%20more%20time%20for%20South%20St.%20Paul%20warehouse&amp;ActOnUniqueID=FNC36669</t>
  </si>
  <si>
    <t>491 Malden Street</t>
  </si>
  <si>
    <t>KGPCo</t>
  </si>
  <si>
    <t>KGPCo is North America’s largest supply chain logistics supplier and systems integrator to telecommunications service providers and utilities. KGPCo plans to construct  a 15,000 to 20,000 square foot building in downtown Faribault to which it will relocate its headquarters. KGP currently has 65 full-time employees in Faribault. KGP plans to add eight new jobs and relocate 12-16 other employees there.
2/2026: DEED MIF Award $100K. New Jobs: 8, with an average wage of $27.50/hr New investment: $ 4.7 million</t>
  </si>
  <si>
    <t>Telecommunications</t>
  </si>
  <si>
    <t>https://www.southernminn.com/faribault_daily_news/news/tax-abatement-seals-deal-for-kgp-hq-in-downtown-faribault/article_37af1fa4-3332-436a-92a1-2f9238353230.html</t>
  </si>
  <si>
    <t>Southern Minn</t>
  </si>
  <si>
    <t xml:space="preserve">Second Avenue NW and Fourth Street NW. </t>
  </si>
  <si>
    <t>2026-Q1</t>
  </si>
  <si>
    <t>Broekema Beltway</t>
  </si>
  <si>
    <t>Pine City</t>
  </si>
  <si>
    <t>Pine</t>
  </si>
  <si>
    <t>DEED: Broekema Beltway USA Inc., manufactures advanced sieving conveyor belt systems and components, serving the agricultural and industrial sectors. The proposed project will establish a new manufacturing line at the current facility in Pine City, including new automation machinery and robotics technology. The project will cost $5.7 million (incl. new machinery and equipment) and will create 12 jobs. Parent company is Arnold Jäger Holding, based in Germany.
DEED Awards: JCF $167,500, MIF $200,000</t>
  </si>
  <si>
    <t>https://mn.gov/deed/newscenter/press-releases/?id=732213</t>
  </si>
  <si>
    <t>1108 Holstein Dr NE</t>
  </si>
  <si>
    <t>JCF $167.5K, MIF $200K</t>
  </si>
  <si>
    <t>Broekema (Netherlands), Jager Holdings (Germany)</t>
  </si>
  <si>
    <t>Veendam (Neth.), Hanover (Germ.)</t>
  </si>
  <si>
    <t>Netherlands, Germany</t>
  </si>
  <si>
    <t>Boston Scientific Corp. is significantly expanding the footprint of its newly built Maple Grove campus near Arbor Lakes. The Marlborough, Mass.-based medtech company plans to add 300,000 square feet of space onto its existing 400,000-square-foot facility at 1 Boston Scientific Way. The four-story expansion would include training areas, labs and office spaces. The expansion also supports having more non-manufacturing employees onsite.</t>
  </si>
  <si>
    <t>OF, RD, Other</t>
  </si>
  <si>
    <t>Medical Devices</t>
  </si>
  <si>
    <t>https://www.bizjournals.com/twincities/news/2026/01/12/boston-scientific-maple-grove-arbor-lakes-expand.html</t>
  </si>
  <si>
    <t>Delkor Systems operates a packaging robotics plant in Arden Hills.  Due to U.S. import tariff pressures, Delkor System invested $3 million to make Trayfecta X, a patented packaging robot. The new technology helped it win a contract for 50 machines from a major U.S. food producer that had been using an overseas supplier. The contract will increase Delkor's sales by about 50% in 2026. Delkor is adding 50 new machinists to the staff of 340 and spending about $500,000 to expand the factory by 22,000 square feet and to relocate its warehouse.</t>
  </si>
  <si>
    <t>https://www.startribune.com/minnesota-manufacturing-tariffs-jobs-lost-reshoring-hope-for-growth/601556467</t>
  </si>
  <si>
    <t>AVR LLC</t>
  </si>
  <si>
    <t xml:space="preserve">AVR plans to buy and renovate a South St. Paul‘s public works site, that the city will be relocating from, into a concrete batch plant.  At full build-out, AVR’s proposed 82-foot-tall concrete batch plant would produce 75,000 to 100,000 cubic yards of concrete annually and would need 25 to 40 employees. AVR will also construct two new partially buried accessory storage buildings.  Measures will be put in place to minimize impact on adjacent properties. </t>
  </si>
  <si>
    <t>Non metallic minerals</t>
  </si>
  <si>
    <t>https://finance-commerce.com/2026/01/south-st-paul-concrete-batch-plant-public-works-site/</t>
  </si>
  <si>
    <t>400 Richmond St. E</t>
  </si>
  <si>
    <t xml:space="preserve">Northwestern Mutual, a wealth management firm, will close their office in Mendota Heights and relocate the 150 staff from there to Bloomingtonn to accommodate future growth.  The larger renovated 44,000 square foot space will give the firm room to add roughly 100 more employees over the next three to five years, depending on how fast they grow. The company signed a lease in December and is expected to move into the building in September. </t>
  </si>
  <si>
    <t>https://www.bizjournals.com/twincities/news/2026/01/16/northwestern-mutual-to-open-bloomington-office.html</t>
  </si>
  <si>
    <t>3311 E. Old Shakopee Road.</t>
  </si>
  <si>
    <t>Pharmaceutical Specialties</t>
  </si>
  <si>
    <t>Pharmaceutical Specialties, Inc., the maker of the popular Vanicream line of skin care products, recently agreed to lease 20,000 square feet of warehouse space nearby to help with our current needs. PSI manufactures, packages and distributes its lotions and other products for people with sensitive skin. PSI employs 185 people.</t>
  </si>
  <si>
    <t>https://infoweb.newsbank.com/apps/news/document-view?p=NewsBank&amp;docref=news/1A5B02B5971A8148&amp;f=basic</t>
  </si>
  <si>
    <t>1620 Industrial Dr NW,</t>
  </si>
  <si>
    <t>Davey Tree Expert Company</t>
  </si>
  <si>
    <t xml:space="preserve">The Davey Tree Expert Company, based in Kent, Ohio is expanding its presence in the Twin Cities. The company purchased a 13,800-square-foot facility for $7.5 million that will serve as a central hub for Davey’s Commercial, Residential Landscape and Mulch divisions. This is expected to create more than 80 local jobs. A primary focus of the new Eagan location is the expansion of the Twin Cities Wood Products division, which aligns with the company's mission to reduce green biomass waste. </t>
  </si>
  <si>
    <t>https://finance-commerce.com/2026/01/davey-tree-expands-twin-cities-eagan-property/</t>
  </si>
  <si>
    <t>3300 Terminal Drive</t>
  </si>
  <si>
    <t>Davey Tree Expert Tree</t>
  </si>
  <si>
    <t>Kent</t>
  </si>
  <si>
    <t>Louisiana-Pacific</t>
  </si>
  <si>
    <t xml:space="preserve">
Louisiana-Pacific Corp. , a Nashville-based provider of wood building products, is proposing a $157 million manufacturing plant in North Branch. The company plans to build a 250,000- to 350,000-square-foot facility on a five-parcel, 120-acre site in North Branch’s Interstate Business Park. The project is a candidate for up to $10 million in funding  from the Minnesota Forward Fund.  
The project would create 100 jobs within five years.  Construction could begin in 2027 or perhaps late 2026, </t>
  </si>
  <si>
    <t>https://finance-commerce.com/2026/02/louisiana-pacific-157m-plant-north-branch-minnesota/</t>
  </si>
  <si>
    <t>Finance-Commerce</t>
  </si>
  <si>
    <t>intersection of 410th Street and County Road 30</t>
  </si>
  <si>
    <t>Nashville</t>
  </si>
  <si>
    <t xml:space="preserve">Duos, a Minneapolis-based digital health startup, recently secured $130 million to accelerate its national expansion, The AI-powered tech platform uses a virtual-assistance model to help elderly adults navigate care benefits and government programs. The company is building out its management and engineering teams.  By the end of 2026, the company plans hire about 45 new people.  </t>
  </si>
  <si>
    <t>https://www.bizjournals.com/twincities/news/2026/02/05/startups-to-watch-2026.html</t>
  </si>
  <si>
    <t>218 Washington Avenue North, Suite 240</t>
  </si>
  <si>
    <t>Qrispers</t>
  </si>
  <si>
    <t xml:space="preserve">Qrispers, a new snack startup based in Minnetonka, has developed a crunchy beef jerky designed to eat like a potato chip. In 2026, the company plans to begin production at its new 3,600-square-foot facility, pending USDA clearance. The company will be pursuing partnerships with gyms, restaurants and event caterers to reach larger audiences, as well as retail-scale orders. The founders also have the option to expand into adjacent space for additional packaging and storage if the need arises. </t>
  </si>
  <si>
    <t>5100 W. 36th Street, Unit 16083</t>
  </si>
  <si>
    <t>Hope&amp;Plum</t>
  </si>
  <si>
    <t>Hope&amp;Plum, a fast-growing maker of high-end baby carriers, wraps and slings in Minneapolis, is preparing to buy a 20,000 square foot St. Paul warehouse to expand operations and host a community hub with retail and a coffee shop. Their partner St. Paul-based Clothier Design Source sews all of their carriers. The company currently occupies a  2,500‑square‑foot space in Minneapolis. The new space is expected to open this summer once renovations are completed.</t>
  </si>
  <si>
    <t>https://www.bizjournals.com/twincities/news/2026/02/09/fast-growing-baby-carrier-brand-hope-plum-to.html</t>
  </si>
  <si>
    <t>intersection of Highway 280 and University Avenue</t>
  </si>
  <si>
    <t>Rise and Shine and Partners</t>
  </si>
  <si>
    <t xml:space="preserve">Ad agency Rise and Shine and Partners will relocate its headquarters from Minneapolis's Linden Hills neighborhood the North Loop, more than doubling its space to accommodate continued growth. Minneapolis-based Rise and Shine will occupy 24,000 square feet of the historic Loose Wiles building. The firm plans to move in April. The new larger space consolidates employees currently working at two locations. The buildout will involve light cosmetic and modest construction work. </t>
  </si>
  <si>
    <t>https://www.bizjournals.com/twincities/news/2026/02/09/rise-and-shine-and-partners-to-move-headquarters.html</t>
  </si>
  <si>
    <t>4353 Upton Ave S Suite 300</t>
  </si>
  <si>
    <t>Flow Environmental Systems</t>
  </si>
  <si>
    <t>TBD</t>
  </si>
  <si>
    <t>Flow Environmental Systems is raising $20 million to build a Minnesota manufacturing facility.  The company plans to produce 400 heat pump units in year one, scaling to 1,000 annually. Flow is seeking 50K-150K square feet of industrial space as it moves to begin  large-scale production and hiring about 300 people in the next three years; 10 people currently work out of an existing space in Rogers. Unlike most traditional heat pump manufacturers, Flow says, it makes a heat pump that uses carbon dioxide as the refrigerant.</t>
  </si>
  <si>
    <t>https://www.bizjournals.com/twincities/news/2026/02/18/rogers-startup-flow-environmental-systems.html</t>
  </si>
  <si>
    <t xml:space="preserve">T.O. Plastics </t>
  </si>
  <si>
    <t>T.O. Plastics, Inc., a thermoforming manufacturer, recently completed significant investments in its Clearwater, MN, production facility. These upgrades enhance manufacturing capabilities while emphasizing the company’s focus on American-made quality and sustainability. focus on American-made quality and sustainability.“By sourcing all our raw materials domestically, we can offer the very best in product availability and performance,”</t>
  </si>
  <si>
    <t>https://www.greenhousegrower.com/technology/t-o-plastics-upgrades-its-minnesota-production-facility/?amp</t>
  </si>
  <si>
    <t>830 County Rd 75 NW</t>
  </si>
  <si>
    <t>RES Specialty Pyrotechnics Inc</t>
  </si>
  <si>
    <t>Belle Plaine</t>
  </si>
  <si>
    <t>RES Specialty Pyrotechnics, Inc.(RES Pyro) is planning to improve and expand its facility in the Township of Derrynane (near Belle Plaine) in Le Sueur County. RES Specialty Pyrotechnics, Inc. manufactures professional-grade pyrotechnic products and designs high-end fireworks displays. The project will cost $625,000 for site improvement and new construction. The company expects to create 7 jobs within the first three (3) years.
DEED JCF Award $140K.</t>
  </si>
  <si>
    <t>https://mn.gov/deed/business/financing-business/deed-programs/mn-jcf/job-creation-fund-map.jsp</t>
  </si>
  <si>
    <t>21595 286th St,</t>
  </si>
  <si>
    <t>Fairview Health Services</t>
  </si>
  <si>
    <t>Fairview Health Services opened a new automated $52 million pharmacy distribution center in Shoreview. It gives Fairview a chance to seize on growing pharmacy, mail-order marketplace and compete with national chains.  The pharmacy serves mainly Fairview patients, but also sends specialty medications to patients nationwide. The facility cranks out 50,000 specialty and mail-order prescriptions each month, or about 1,600 per day. The automated system still requires pharmacists and technicians to review orders for accuracy.</t>
  </si>
  <si>
    <t>https://www.startribune.com/fairview-bets-big-on-robotic-specialty-pharmacy/601583965</t>
  </si>
  <si>
    <t>3650 Victoria St N Suite 100</t>
  </si>
  <si>
    <t>Pine Island</t>
  </si>
  <si>
    <t xml:space="preserve">Google announced it will build a data center in the small southern Minnesota city of Pine Island. The tech giant also announced Feb. 24 that it will be paying for a significant amount of new wind, solar and battery power capacity as part of its contract with Xcel Energy. 
Google hopes to start building this year. The project is likely to cost more than $1 billion to build, and the associated wind, solar and battery projects would also have a total price tag in the billions. </t>
  </si>
  <si>
    <t>https://www.startribune.com/google-announces-minnesota-data-center-in-pine-island-near-rochester/601587214</t>
  </si>
  <si>
    <t>Indian Motorcycle</t>
  </si>
  <si>
    <t xml:space="preserve"> Indian Motorcycle recently spun off from Polaris and will establish a new headquarters in Golden Valley. The company leased 37,832 square feet at Golden Valley Building II for seven years. The newly independent company will retain its manufacturing facilities in Minnesota and Iowa. The location will serve as Indian Motorcycle’s central hub for leadership, operations and brand development.</t>
  </si>
  <si>
    <t>Vehicles</t>
  </si>
  <si>
    <t>6325 Sandburg Road</t>
  </si>
  <si>
    <t>Pivot Bio</t>
  </si>
  <si>
    <t>Pivot Bio, an agriculture firm valued at about $2 billion, is moving its headquarters to Minnetonka so it can operate closer to the crops its cleaner-and-cheaper fertilizer alternative treats. Previously based in California, Pivot makes synthetic fertilizer. Farmers have used this product on more than 15 million corn acres and several hundred thousand acres of Minnesota farmland.  Currently, about 20% of Pivot’s nearly 250 employees are in Minnesota, and the company plans to grow.</t>
  </si>
  <si>
    <t>https://www.startribune.com/pivot-bio-ag-tech-company-moves-hq-california-minnesota-minnetonka-greater-msp-corn-farm-fertilizer/601590202</t>
  </si>
  <si>
    <t>701 Carlson Pkwy</t>
  </si>
  <si>
    <t>Google plans to build a data center in Hermantown under an agreement with Minnesota Power. The proposed 1.8 million-square-foot campus (including four 300,000-square-foot buildings and office space) would be constructed in phases over eight to 10 years. Concerns for the environment, excessive water use (50,000 gallons of water daily) and potential use of Lake Superior’s coveted stores of water have been controversies. Google would support developing 300 megawatts of wind energy and 400 megawatts of batteries in the region. This data center proposal was known as Project Loon in September 2024.</t>
  </si>
  <si>
    <t>https://www.startribune.com/google-is-behind-northeast-minnesota-data-center-thats-been-cloaked-in-secrecy/601591408</t>
  </si>
  <si>
    <t>intersection of Morris Thomas Road and Midway Road.</t>
  </si>
  <si>
    <t>Delta Airlines TechOps</t>
  </si>
  <si>
    <t>Fort Snelling</t>
  </si>
  <si>
    <t>Delta's maintenance and repair operation, known as TechOps, is the largest in North America. It has more than 150 customers, including rivals and players like UPS Airlines. Delta's MRO operations include a 330,000-square-foot facility at MSP International Airport. More than 7,000 of 13,000 employees worldwide are in Minnesota. TechOps hired 300 people in early 2026. He anticipates TechOps will hire between 400 and 1,000 employees globally this year.</t>
  </si>
  <si>
    <t>Airlines</t>
  </si>
  <si>
    <t>https://www.bizjournals.com/twincities/news/2026/03/09/delta-techops-centerpiece.html</t>
  </si>
  <si>
    <t>7200 34th Ave S</t>
  </si>
  <si>
    <t>Aircorps Aviation LLC - Hangar</t>
  </si>
  <si>
    <t xml:space="preserve">Aircorps Aviation specializes in the restoration, maintenance, and rebuilding of vintage WWII aircraft, as well as provides other aerospace services. The total project cost is $4,650,000, for new construction, and new machinery and equipment. The company expects to create 14 jobs within the fi rst t hree ( 3) years at an
average cash wage of $29.79 per hour. No additional local or state assistance is being proposed. DEED JCF Award $175K. </t>
  </si>
  <si>
    <t>Maintenance and Repair</t>
  </si>
  <si>
    <t>1180 Adams Ave NW,</t>
  </si>
  <si>
    <t>St. John's Hospital</t>
  </si>
  <si>
    <t>MHealth Fairview St. John’s Hospital is proposing a 189,600-square-foot addition to the existing 370,000-square-foot hospital at 1575 Beam Ave.  The city council is scheduled to review on Monday, April 13. The expansion “strengthens the city’s medical district by modernizing a major regional employer, supporting long‑term economic stability and attracting complementary health‑related businesses,” according to a city staff report.</t>
  </si>
  <si>
    <t>https://finance-commerce.com/2026/03/mhealth-fairview-st-johns-hospital-expansion-maplewood/</t>
  </si>
  <si>
    <t>1575 Beam Ave</t>
  </si>
  <si>
    <t>Crystal Distribution CDI</t>
  </si>
  <si>
    <t xml:space="preserve">
Crystal Distribution Inc. (CDI) is planning a  $6.2 million dollar 45,000 square foot addition. The costs cover new construction, site improvements, renovations of an existing building.  CDI designs and manufactures roof curbs and roof curb adapters for the HVAC industry. The Elk River plant has over 100 employees. The project retains 100 employees and will add over 30 jobs in the next 5 years.  
DEED: JCF Award $175K, BDPI (to Elk River) $92K. City of Elk River: $150K for storm sewer pipe relocation to support expansion and $400K TIF.</t>
  </si>
  <si>
    <t>17560 Tyler St NW</t>
  </si>
  <si>
    <t>JCF ($175K), BDPI to Elk River ($92K), City of Elk River ($150K)</t>
  </si>
  <si>
    <t>Redux Cannabis</t>
  </si>
  <si>
    <t xml:space="preserve">A new cannabis facility, Redux Cannabis, will open in Blaine by mid-June. Cultivation and production will be fully operational later this year. Redux will span 53,000 square feet, with space for indoor canopy cultivation, processing, production, and warehouse space.  Redux will employ about 40 people – 10 in cultivation, 15 in production and 15 in the store.. Redux has not yet been licensed by MN Office of Cannabis Management  for the property. </t>
  </si>
  <si>
    <t>MF, Other</t>
  </si>
  <si>
    <t>Multiple</t>
  </si>
  <si>
    <t>https://www.bizjournals.com/twincities/news/2026/03/19/cannabis-business-planned-blaine.html</t>
  </si>
  <si>
    <t>4131 Pheasant Ridge Drive NE</t>
  </si>
  <si>
    <t>Thrivent</t>
  </si>
  <si>
    <t>Minneapolis-based Thrivent wants to hire 600 new advisers this year, continuing a hiring push aimed at offsetting an adviser shortage in the U.S. wealth management industry. Thrivent currently has around 150 virtual advisers and expects to more than double the team this year. This year, Thrivent is planning for one in three of its hires to be “virtual advisers. Hubs are being bolstered in Atlanta, Dallas, Denver and Milwaukee, as well as Minneapolis, to support this team.</t>
  </si>
  <si>
    <t>https://www.startribune.com/north-star-insider-thrivent-hiring-push-civic-eagle-plural-sai360/601607755</t>
  </si>
  <si>
    <t>600 Portland Ave S Suite 100,</t>
  </si>
  <si>
    <t>Carecubes</t>
  </si>
  <si>
    <t xml:space="preserve">Carecubes has raised $6.5 Million Series A to help expand manufacturing operations in Arden Hills and ensure it has the inventory to meet demand, Laskey said. It’s also putting those dollars toward product improvements and new hires. The company has seven full-time employees and and plans to hire a few more people this year. Carecubes manufactures its pop-up isolation chambers in Minnesota for the healthcare industry. </t>
  </si>
  <si>
    <t>https://www.prnewswire.com/news-releases/carecubes-closes-6-5-million-series-a-to-transform-infectious-disease-response-302718286.html</t>
  </si>
  <si>
    <t>Company press release</t>
  </si>
  <si>
    <t>3673 Lexington Ave N</t>
  </si>
  <si>
    <t>Ryder Integrated Logistics, Inc.</t>
  </si>
  <si>
    <t>Ryder Integrated Logistics, a provider of logistics and supply chain solutions, is planning to expand in Shakopee. Their project expands Ryder’s capacity to serve regional and national customers and involves renovations to an existing industrial facility, mainly focused on HVAC improvements and related electrical upgrades. The project cost is $1.8 million for renovations to an existing building,  machinery and equipment and other. The company expects to create 32 jobs.
DEED JCF Award $175K.</t>
  </si>
  <si>
    <t>Logistics</t>
  </si>
  <si>
    <t>Monteris Medical</t>
  </si>
  <si>
    <t>Minnetonka-based Monteris Medical raised $63 million to expand its laser neurosurgery platform across North America.  The company is focused on developing minimally invasive treatments for brain cancer and epilepsy. Monteris Medical will initially use the fresh capital to expand its sales force. Within the year, the company plans to hire 10 to 15 new employees in sales and field-based clinical support. Currently, the company employs 105 people. A significant portion of the new capital will be invested in R&amp;D.</t>
  </si>
  <si>
    <t>https://www.bizjournals.com/twincities/news/2026/03/27/monteris-medical-targets-growth.html</t>
  </si>
  <si>
    <t>131 Cheshire Ln #100</t>
  </si>
  <si>
    <t>2025 (pie chart data)</t>
  </si>
  <si>
    <t>Number</t>
  </si>
  <si>
    <t>Percent</t>
  </si>
  <si>
    <t>Row Labels</t>
  </si>
  <si>
    <t>Count of Account Name</t>
  </si>
  <si>
    <t>Sum of New Jobs - Non Construction</t>
  </si>
  <si>
    <t>Sum of Investment</t>
  </si>
  <si>
    <t># Expansions</t>
  </si>
  <si>
    <t>Total New Jobs Created</t>
  </si>
  <si>
    <t>Total Capital Invt $</t>
  </si>
  <si>
    <t>Mfg Industry</t>
  </si>
  <si>
    <t>Grand Total</t>
  </si>
  <si>
    <t>Healthcare</t>
  </si>
  <si>
    <t>Number of Projects (Left Axis)</t>
  </si>
  <si>
    <t>Projected New Jobs (Right Axis)</t>
  </si>
  <si>
    <t>Total</t>
  </si>
  <si>
    <t>Big Stone</t>
  </si>
  <si>
    <t>Lac qui Parle</t>
  </si>
  <si>
    <t>Todd</t>
  </si>
  <si>
    <t>Traverse</t>
  </si>
  <si>
    <t>Wilkin</t>
  </si>
  <si>
    <t>Yellow Medicine</t>
  </si>
  <si>
    <t>Aitkin</t>
  </si>
  <si>
    <t>Cook</t>
  </si>
  <si>
    <t>Hubbard</t>
  </si>
  <si>
    <t>Kittson</t>
  </si>
  <si>
    <t>Mahnomen</t>
  </si>
  <si>
    <t>Dodge</t>
  </si>
  <si>
    <t>Lincoln</t>
  </si>
  <si>
    <t>Murray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</si>
</sst>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0000000"/>
    <numFmt numFmtId="166" formatCode="#,##0.000000"/>
    <numFmt numFmtId="167" formatCode="#,##0.0000"/>
    <numFmt numFmtId="168" formatCode="#,##0.0000000"/>
    <numFmt numFmtId="169" formatCode="_(&quot;$&quot;* #,##0_);_(&quot;$&quot;* \(#,##0\);_(&quot;$&quot;* &quot;-&quot;??_);_(@_)"/>
    <numFmt numFmtId="170" formatCode="&quot;$&quot;#,##0;\(&quot;$&quot;#,##0\)"/>
    <numFmt numFmtId="171" formatCode="_([$$-409]* #,##0.00_);_([$$-409]* \(#,##0.00\);_([$$-409]* &quot;-&quot;??_);_(@_)"/>
    <numFmt numFmtId="172" formatCode="_([$$-409]* #,##0_);_([$$-409]* \(#,##0\);_([$$-409]* &quot;-&quot;??_);_(@_)"/>
    <numFmt numFmtId="173" formatCode="&quot;$&quot;#,##0"/>
    <numFmt numFmtId="174" formatCode="&quot;$&quot;#,##0.00;\(&quot;$&quot;#,##0.00\)"/>
  </numFmts>
  <fonts count="64">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u/>
      <sz val="11"/>
      <name val="Calibri"/>
      <family val="2"/>
      <scheme val="minor"/>
    </font>
    <font>
      <sz val="10"/>
      <name val="Calibri"/>
      <family val="2"/>
      <scheme val="minor"/>
    </font>
    <font>
      <sz val="11"/>
      <color rgb="FF333333"/>
      <name val="Calibri"/>
      <family val="2"/>
      <scheme val="minor"/>
    </font>
    <font>
      <sz val="12"/>
      <name val="Calibri"/>
      <family val="2"/>
      <scheme val="minor"/>
    </font>
    <font>
      <b/>
      <sz val="10"/>
      <name val="Calibri"/>
      <family val="2"/>
      <scheme val="minor"/>
    </font>
    <font>
      <sz val="11"/>
      <color rgb="FF7030A0"/>
      <name val="Calibri"/>
      <family val="2"/>
      <scheme val="minor"/>
    </font>
    <font>
      <sz val="9"/>
      <name val="Calibri"/>
      <family val="2"/>
      <scheme val="minor"/>
    </font>
    <font>
      <i/>
      <sz val="11"/>
      <name val="Calibri"/>
      <family val="2"/>
      <scheme val="minor"/>
    </font>
    <font>
      <sz val="11"/>
      <name val="Arial"/>
      <family val="2"/>
    </font>
    <font>
      <sz val="14"/>
      <name val="Arial"/>
      <family val="2"/>
    </font>
    <font>
      <sz val="10"/>
      <name val="Arial"/>
      <family val="2"/>
    </font>
    <font>
      <sz val="12"/>
      <name val="Arial"/>
      <family val="2"/>
    </font>
    <font>
      <sz val="11"/>
      <name val="Calibri"/>
      <family val="2"/>
    </font>
    <font>
      <sz val="11"/>
      <name val="Open Sans"/>
      <family val="2"/>
    </font>
    <font>
      <sz val="12"/>
      <name val="Tahoma"/>
      <family val="2"/>
    </font>
    <font>
      <sz val="12"/>
      <name val="Georgia"/>
      <family val="1"/>
    </font>
    <font>
      <sz val="12"/>
      <name val="PT Serif"/>
      <family val="1"/>
    </font>
    <font>
      <sz val="12"/>
      <name val="Open Sans"/>
      <family val="2"/>
    </font>
    <font>
      <sz val="9"/>
      <name val="Roboto"/>
    </font>
    <font>
      <sz val="10"/>
      <name val="Tahoma"/>
      <family val="2"/>
    </font>
    <font>
      <b/>
      <sz val="11"/>
      <name val="Calibri"/>
      <family val="2"/>
    </font>
    <font>
      <sz val="11"/>
      <name val="Roboto"/>
    </font>
    <font>
      <b/>
      <sz val="11"/>
      <name val="Roboto"/>
    </font>
    <font>
      <sz val="7"/>
      <name val="Roboto"/>
    </font>
    <font>
      <sz val="10"/>
      <name val="Roboto"/>
    </font>
    <font>
      <sz val="13"/>
      <name val="Georgia"/>
      <family val="1"/>
    </font>
    <font>
      <sz val="10"/>
      <name val="Ubuntu"/>
      <family val="2"/>
    </font>
    <font>
      <sz val="12"/>
      <name val="Times New Roman"/>
      <family val="1"/>
    </font>
    <font>
      <sz val="7"/>
      <name val="Arial"/>
      <family val="2"/>
    </font>
    <font>
      <sz val="7"/>
      <name val="Ubuntu"/>
      <family val="2"/>
    </font>
    <font>
      <sz val="12"/>
      <color rgb="FF7030A0"/>
      <name val="Arial"/>
      <family val="2"/>
    </font>
    <font>
      <sz val="8"/>
      <name val="Arial"/>
      <family val="2"/>
    </font>
    <font>
      <sz val="12"/>
      <name val="Calibri"/>
      <family val="2"/>
    </font>
    <font>
      <sz val="9"/>
      <name val="Tahoma"/>
      <family val="2"/>
    </font>
    <font>
      <b/>
      <sz val="11"/>
      <name val="Arial"/>
      <family val="2"/>
    </font>
    <font>
      <sz val="8"/>
      <name val="Roboto"/>
    </font>
    <font>
      <sz val="11"/>
      <name val="Georgia"/>
      <family val="1"/>
    </font>
    <font>
      <sz val="14"/>
      <name val="Georgia"/>
      <family val="1"/>
    </font>
    <font>
      <sz val="12"/>
      <name val="Roboto"/>
    </font>
    <font>
      <sz val="11"/>
      <name val="Ubuntu"/>
      <family val="2"/>
    </font>
    <font>
      <sz val="11"/>
      <name val="Karla"/>
    </font>
    <font>
      <sz val="14"/>
      <name val="Roboto"/>
    </font>
    <font>
      <sz val="11"/>
      <color rgb="FFC00000"/>
      <name val="Calibri"/>
      <family val="2"/>
      <scheme val="minor"/>
    </font>
    <font>
      <u/>
      <sz val="11"/>
      <color rgb="FFC00000"/>
      <name val="Calibri"/>
      <family val="2"/>
      <scheme val="minor"/>
    </font>
    <font>
      <sz val="8"/>
      <color rgb="FFC00000"/>
      <name val="Roboto"/>
    </font>
    <font>
      <b/>
      <sz val="11"/>
      <color rgb="FFC00000"/>
      <name val="Calibri"/>
      <family val="2"/>
      <scheme val="minor"/>
    </font>
    <font>
      <sz val="10"/>
      <color rgb="FFC00000"/>
      <name val="Calibri "/>
    </font>
    <font>
      <sz val="8"/>
      <color rgb="FFC00000"/>
      <name val="Arial"/>
      <family val="2"/>
    </font>
    <font>
      <sz val="11"/>
      <color rgb="FFC00000"/>
      <name val="Georgia"/>
      <family val="1"/>
    </font>
    <font>
      <sz val="11"/>
      <color rgb="FF0070C0"/>
      <name val="Calibri"/>
      <family val="2"/>
      <scheme val="minor"/>
    </font>
    <font>
      <sz val="11"/>
      <color rgb="FF00B0F0"/>
      <name val="Calibri"/>
      <family val="2"/>
      <scheme val="minor"/>
    </font>
    <font>
      <sz val="11"/>
      <color rgb="FFFF0000"/>
      <name val="Calibri"/>
      <family val="2"/>
      <scheme val="minor"/>
    </font>
    <font>
      <sz val="11"/>
      <color theme="8"/>
      <name val="Calibri"/>
      <family val="2"/>
      <scheme val="minor"/>
    </font>
    <font>
      <sz val="11"/>
      <color theme="9" tint="-0.249977111117893"/>
      <name val="Calibri"/>
      <family val="2"/>
      <scheme val="minor"/>
    </font>
    <font>
      <sz val="12"/>
      <color theme="9" tint="-0.249977111117893"/>
      <name val="Calibri"/>
      <family val="2"/>
    </font>
    <font>
      <sz val="12"/>
      <color theme="9" tint="-0.499984740745262"/>
      <name val="Calibri"/>
      <family val="2"/>
    </font>
    <font>
      <sz val="11"/>
      <color theme="9" tint="-0.499984740745262"/>
      <name val="Calibri"/>
      <family val="2"/>
      <scheme val="minor"/>
    </font>
    <font>
      <u/>
      <sz val="12"/>
      <color theme="9" tint="-0.499984740745262"/>
      <name val="Calibri"/>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theme="7" tint="0.79998168889431442"/>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rgb="FF8EA9DB"/>
      </bottom>
      <diagonal/>
    </border>
    <border>
      <left style="medium">
        <color rgb="FF8EA9DB"/>
      </left>
      <right/>
      <top/>
      <bottom style="medium">
        <color rgb="FF8EA9DB"/>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318">
    <xf numFmtId="0" fontId="0" fillId="0" borderId="0" xfId="0"/>
    <xf numFmtId="49" fontId="4" fillId="0" borderId="0" xfId="0" applyNumberFormat="1" applyFont="1" applyFill="1" applyAlignment="1"/>
    <xf numFmtId="0" fontId="4" fillId="0" borderId="0" xfId="0" applyFont="1" applyFill="1" applyAlignment="1"/>
    <xf numFmtId="14" fontId="4" fillId="0" borderId="0" xfId="0" applyNumberFormat="1" applyFont="1" applyFill="1" applyAlignment="1">
      <alignment horizontal="right"/>
    </xf>
    <xf numFmtId="164" fontId="4" fillId="0" borderId="0" xfId="1" applyNumberFormat="1" applyFont="1" applyFill="1" applyAlignment="1">
      <alignment horizontal="right"/>
    </xf>
    <xf numFmtId="164" fontId="4" fillId="0" borderId="0" xfId="1" applyNumberFormat="1" applyFont="1" applyFill="1" applyAlignment="1"/>
    <xf numFmtId="169" fontId="4" fillId="0" borderId="0" xfId="2" applyNumberFormat="1" applyFont="1" applyFill="1" applyAlignment="1">
      <alignment horizontal="right"/>
    </xf>
    <xf numFmtId="0" fontId="6" fillId="0" borderId="0" xfId="3" applyFont="1" applyFill="1" applyAlignment="1"/>
    <xf numFmtId="49" fontId="6" fillId="0" borderId="0" xfId="3" applyNumberFormat="1" applyFont="1" applyFill="1" applyAlignment="1"/>
    <xf numFmtId="169" fontId="4" fillId="0" borderId="0" xfId="2" applyNumberFormat="1" applyFont="1" applyFill="1" applyBorder="1" applyAlignment="1">
      <alignment horizontal="right"/>
    </xf>
    <xf numFmtId="169" fontId="4" fillId="0" borderId="0" xfId="2" applyNumberFormat="1" applyFont="1" applyFill="1" applyBorder="1" applyAlignment="1"/>
    <xf numFmtId="169" fontId="4" fillId="0" borderId="0" xfId="2" applyNumberFormat="1" applyFont="1" applyFill="1" applyAlignment="1"/>
    <xf numFmtId="49" fontId="0" fillId="0" borderId="0" xfId="0" applyNumberFormat="1" applyFont="1" applyAlignment="1"/>
    <xf numFmtId="0" fontId="0" fillId="0" borderId="0" xfId="0" applyAlignment="1"/>
    <xf numFmtId="49" fontId="0" fillId="0" borderId="0" xfId="0" applyNumberFormat="1" applyAlignment="1"/>
    <xf numFmtId="0" fontId="8" fillId="4" borderId="0" xfId="0" applyFont="1" applyFill="1" applyBorder="1" applyAlignment="1">
      <alignment horizontal="left" vertical="top"/>
    </xf>
    <xf numFmtId="49" fontId="0" fillId="3" borderId="0" xfId="0" applyNumberFormat="1" applyFont="1" applyFill="1" applyAlignment="1"/>
    <xf numFmtId="0" fontId="0" fillId="3" borderId="0" xfId="0" applyFill="1" applyAlignment="1"/>
    <xf numFmtId="0" fontId="2" fillId="0" borderId="0" xfId="0" applyFont="1" applyAlignment="1">
      <alignment horizontal="center" vertical="center"/>
    </xf>
    <xf numFmtId="0" fontId="2" fillId="2" borderId="0" xfId="0" applyFont="1" applyFill="1" applyAlignment="1">
      <alignment horizontal="center" vertical="center"/>
    </xf>
    <xf numFmtId="0" fontId="8" fillId="4" borderId="0" xfId="0" applyFont="1" applyFill="1" applyBorder="1" applyAlignment="1">
      <alignment horizontal="left" vertical="center"/>
    </xf>
    <xf numFmtId="49" fontId="0" fillId="0" borderId="0" xfId="0" applyNumberFormat="1" applyFont="1" applyBorder="1" applyAlignment="1"/>
    <xf numFmtId="49" fontId="0" fillId="0" borderId="2" xfId="0" applyNumberFormat="1" applyFont="1" applyBorder="1" applyAlignment="1"/>
    <xf numFmtId="49" fontId="0" fillId="0" borderId="3" xfId="0" applyNumberFormat="1" applyFont="1" applyBorder="1" applyAlignment="1"/>
    <xf numFmtId="0" fontId="0" fillId="0" borderId="0" xfId="0" applyFont="1"/>
    <xf numFmtId="0" fontId="0" fillId="0" borderId="0" xfId="0" applyFont="1" applyAlignment="1"/>
    <xf numFmtId="49" fontId="0" fillId="0" borderId="4" xfId="0" applyNumberFormat="1" applyFont="1" applyBorder="1" applyAlignment="1"/>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164" fontId="4" fillId="0" borderId="0" xfId="1" applyNumberFormat="1" applyFont="1" applyFill="1" applyBorder="1" applyAlignment="1"/>
    <xf numFmtId="0" fontId="0" fillId="0" borderId="0" xfId="0" pivotButton="1"/>
    <xf numFmtId="0" fontId="0" fillId="0" borderId="0" xfId="0" applyAlignment="1">
      <alignment horizontal="left"/>
    </xf>
    <xf numFmtId="0" fontId="0" fillId="0" borderId="0" xfId="0" applyNumberFormat="1"/>
    <xf numFmtId="164" fontId="4" fillId="0" borderId="0" xfId="1" applyNumberFormat="1" applyFont="1" applyFill="1" applyBorder="1" applyAlignment="1">
      <alignment horizontal="right"/>
    </xf>
    <xf numFmtId="14" fontId="4" fillId="0" borderId="0" xfId="2" applyNumberFormat="1" applyFont="1" applyFill="1" applyBorder="1" applyAlignment="1"/>
    <xf numFmtId="164" fontId="4" fillId="0" borderId="9" xfId="1" applyNumberFormat="1" applyFont="1" applyFill="1" applyBorder="1" applyAlignment="1"/>
    <xf numFmtId="169" fontId="4" fillId="0" borderId="9" xfId="2" applyNumberFormat="1" applyFont="1" applyFill="1" applyBorder="1" applyAlignment="1"/>
    <xf numFmtId="169" fontId="4" fillId="0" borderId="5" xfId="2" applyNumberFormat="1" applyFont="1" applyFill="1" applyBorder="1" applyAlignment="1"/>
    <xf numFmtId="169" fontId="4" fillId="0" borderId="0" xfId="2" applyNumberFormat="1" applyFont="1" applyFill="1" applyBorder="1" applyAlignment="1">
      <alignment horizontal="left"/>
    </xf>
    <xf numFmtId="169" fontId="4" fillId="0" borderId="12" xfId="2" applyNumberFormat="1" applyFont="1" applyFill="1" applyBorder="1" applyAlignment="1"/>
    <xf numFmtId="49" fontId="4" fillId="0" borderId="10" xfId="0" applyNumberFormat="1" applyFont="1" applyFill="1" applyBorder="1" applyAlignment="1"/>
    <xf numFmtId="164" fontId="4" fillId="0" borderId="12" xfId="1" applyNumberFormat="1" applyFont="1" applyFill="1" applyBorder="1" applyAlignment="1"/>
    <xf numFmtId="14" fontId="4" fillId="0" borderId="0" xfId="0" applyNumberFormat="1" applyFont="1" applyFill="1" applyAlignment="1"/>
    <xf numFmtId="164" fontId="0" fillId="0" borderId="0" xfId="1" applyNumberFormat="1" applyFont="1"/>
    <xf numFmtId="165" fontId="4" fillId="0" borderId="0" xfId="1" applyNumberFormat="1" applyFont="1" applyFill="1" applyAlignment="1"/>
    <xf numFmtId="166" fontId="4" fillId="0" borderId="0" xfId="1" applyNumberFormat="1" applyFont="1" applyFill="1" applyAlignment="1"/>
    <xf numFmtId="0" fontId="4" fillId="0" borderId="0" xfId="0" applyFont="1" applyFill="1" applyAlignment="1">
      <alignment horizontal="left"/>
    </xf>
    <xf numFmtId="0" fontId="4" fillId="0" borderId="0" xfId="0" applyFont="1" applyFill="1" applyAlignment="1">
      <alignment horizontal="left" vertical="center"/>
    </xf>
    <xf numFmtId="167" fontId="4" fillId="0" borderId="0" xfId="1" applyNumberFormat="1" applyFont="1" applyFill="1" applyAlignment="1"/>
    <xf numFmtId="0" fontId="7" fillId="0" borderId="0" xfId="0" applyFont="1" applyFill="1" applyAlignment="1"/>
    <xf numFmtId="168" fontId="4" fillId="0" borderId="0" xfId="1" applyNumberFormat="1" applyFont="1" applyFill="1" applyAlignment="1"/>
    <xf numFmtId="0" fontId="4" fillId="0" borderId="5" xfId="0" applyFont="1" applyFill="1" applyBorder="1" applyAlignment="1"/>
    <xf numFmtId="14" fontId="4" fillId="0" borderId="7" xfId="0" applyNumberFormat="1" applyFont="1" applyFill="1" applyBorder="1" applyAlignment="1"/>
    <xf numFmtId="169" fontId="4" fillId="0" borderId="7" xfId="2" applyNumberFormat="1" applyFont="1" applyFill="1" applyBorder="1" applyAlignment="1"/>
    <xf numFmtId="172" fontId="4" fillId="0" borderId="0" xfId="0" applyNumberFormat="1" applyFont="1" applyFill="1" applyAlignment="1"/>
    <xf numFmtId="169" fontId="4" fillId="0" borderId="1" xfId="2" applyNumberFormat="1" applyFont="1" applyFill="1" applyBorder="1" applyAlignment="1"/>
    <xf numFmtId="164" fontId="4" fillId="0" borderId="1" xfId="1" applyNumberFormat="1" applyFont="1" applyFill="1" applyBorder="1" applyAlignment="1"/>
    <xf numFmtId="173" fontId="4" fillId="0" borderId="0" xfId="1" applyNumberFormat="1" applyFont="1" applyFill="1" applyAlignment="1"/>
    <xf numFmtId="14" fontId="4" fillId="0" borderId="1" xfId="0" applyNumberFormat="1" applyFont="1" applyFill="1" applyBorder="1" applyAlignment="1">
      <alignment horizontal="right"/>
    </xf>
    <xf numFmtId="174" fontId="4" fillId="0" borderId="1" xfId="0" applyNumberFormat="1" applyFont="1" applyFill="1" applyBorder="1" applyAlignment="1">
      <alignment horizontal="left"/>
    </xf>
    <xf numFmtId="0" fontId="4" fillId="0" borderId="1" xfId="0" applyFont="1" applyFill="1" applyBorder="1" applyAlignment="1">
      <alignment horizontal="left"/>
    </xf>
    <xf numFmtId="173" fontId="4" fillId="0" borderId="1" xfId="1" applyNumberFormat="1" applyFont="1" applyFill="1" applyBorder="1" applyAlignment="1">
      <alignment horizontal="right"/>
    </xf>
    <xf numFmtId="164" fontId="4" fillId="0" borderId="1" xfId="1" applyNumberFormat="1" applyFont="1" applyFill="1" applyBorder="1" applyAlignment="1">
      <alignment horizontal="right"/>
    </xf>
    <xf numFmtId="169" fontId="4" fillId="0" borderId="1" xfId="2" applyNumberFormat="1" applyFont="1" applyFill="1" applyBorder="1" applyAlignment="1">
      <alignment horizontal="right"/>
    </xf>
    <xf numFmtId="0" fontId="9" fillId="0" borderId="0" xfId="0" applyFont="1" applyFill="1" applyAlignment="1"/>
    <xf numFmtId="16" fontId="4" fillId="0" borderId="5" xfId="0" applyNumberFormat="1" applyFont="1" applyFill="1" applyBorder="1" applyAlignment="1"/>
    <xf numFmtId="16" fontId="4" fillId="0" borderId="0" xfId="0" applyNumberFormat="1" applyFont="1" applyFill="1" applyAlignment="1"/>
    <xf numFmtId="44" fontId="4" fillId="0" borderId="0" xfId="0" applyNumberFormat="1" applyFont="1" applyFill="1" applyAlignment="1"/>
    <xf numFmtId="14" fontId="4" fillId="0" borderId="9" xfId="0" applyNumberFormat="1" applyFont="1" applyFill="1" applyBorder="1" applyAlignment="1"/>
    <xf numFmtId="0" fontId="4" fillId="0" borderId="10" xfId="0" applyFont="1" applyFill="1" applyBorder="1" applyAlignment="1"/>
    <xf numFmtId="0" fontId="4" fillId="0" borderId="9" xfId="0" applyFont="1" applyFill="1" applyBorder="1" applyAlignment="1"/>
    <xf numFmtId="0" fontId="4" fillId="0" borderId="11" xfId="0" applyFont="1" applyFill="1" applyBorder="1" applyAlignment="1"/>
    <xf numFmtId="164" fontId="4" fillId="0" borderId="0" xfId="1" applyNumberFormat="1" applyFont="1" applyFill="1" applyAlignment="1">
      <alignment horizontal="center"/>
    </xf>
    <xf numFmtId="16" fontId="7" fillId="0" borderId="0" xfId="0" applyNumberFormat="1" applyFont="1" applyFill="1" applyAlignment="1"/>
    <xf numFmtId="16" fontId="4" fillId="0" borderId="10" xfId="0" applyNumberFormat="1" applyFont="1" applyFill="1" applyBorder="1" applyAlignment="1"/>
    <xf numFmtId="49" fontId="7" fillId="0" borderId="0" xfId="0" applyNumberFormat="1" applyFont="1" applyFill="1" applyAlignment="1"/>
    <xf numFmtId="171" fontId="4" fillId="0" borderId="0" xfId="0" applyNumberFormat="1" applyFont="1" applyFill="1" applyAlignment="1"/>
    <xf numFmtId="16" fontId="4" fillId="0" borderId="9" xfId="0" applyNumberFormat="1" applyFont="1" applyFill="1" applyBorder="1" applyAlignment="1"/>
    <xf numFmtId="14" fontId="4" fillId="0" borderId="5" xfId="0" applyNumberFormat="1" applyFont="1" applyFill="1" applyBorder="1" applyAlignment="1"/>
    <xf numFmtId="8" fontId="4" fillId="0" borderId="0" xfId="0" applyNumberFormat="1" applyFont="1" applyFill="1" applyAlignment="1"/>
    <xf numFmtId="164" fontId="11" fillId="0" borderId="0" xfId="1" applyNumberFormat="1" applyFont="1" applyFill="1" applyAlignment="1"/>
    <xf numFmtId="0" fontId="11" fillId="0" borderId="0" xfId="0" applyFont="1" applyFill="1" applyAlignment="1">
      <alignment vertical="center"/>
    </xf>
    <xf numFmtId="0" fontId="6" fillId="0" borderId="0" xfId="3" applyFont="1" applyFill="1" applyAlignment="1">
      <alignment horizontal="left"/>
    </xf>
    <xf numFmtId="0" fontId="4" fillId="0" borderId="0" xfId="0" applyFont="1" applyFill="1" applyAlignment="1">
      <alignment vertical="center"/>
    </xf>
    <xf numFmtId="169" fontId="4" fillId="0" borderId="6" xfId="2" applyNumberFormat="1" applyFont="1" applyFill="1" applyBorder="1" applyAlignment="1"/>
    <xf numFmtId="164" fontId="4" fillId="0" borderId="0" xfId="1" applyNumberFormat="1" applyFont="1" applyFill="1" applyBorder="1" applyAlignment="1">
      <alignment horizontal="right" vertical="center"/>
    </xf>
    <xf numFmtId="0" fontId="4" fillId="0" borderId="8" xfId="0" applyFont="1" applyFill="1" applyBorder="1" applyAlignment="1"/>
    <xf numFmtId="0" fontId="4" fillId="0" borderId="7" xfId="0" applyFont="1" applyFill="1" applyBorder="1" applyAlignment="1"/>
    <xf numFmtId="164" fontId="4" fillId="0" borderId="5" xfId="1" applyNumberFormat="1" applyFont="1" applyFill="1" applyBorder="1" applyAlignment="1"/>
    <xf numFmtId="169" fontId="4" fillId="0" borderId="0" xfId="2" applyNumberFormat="1" applyFont="1" applyFill="1" applyBorder="1" applyAlignment="1">
      <alignment vertical="center"/>
    </xf>
    <xf numFmtId="0" fontId="4" fillId="0" borderId="1" xfId="0" applyFont="1" applyFill="1" applyBorder="1" applyAlignment="1"/>
    <xf numFmtId="49" fontId="4" fillId="0" borderId="1" xfId="0" applyNumberFormat="1" applyFont="1" applyFill="1" applyBorder="1" applyAlignment="1"/>
    <xf numFmtId="14" fontId="12" fillId="0" borderId="0" xfId="0" applyNumberFormat="1" applyFont="1" applyFill="1" applyAlignment="1"/>
    <xf numFmtId="14" fontId="4" fillId="0" borderId="0" xfId="0" applyNumberFormat="1" applyFont="1" applyFill="1" applyAlignment="1">
      <alignment horizontal="right" vertical="center"/>
    </xf>
    <xf numFmtId="14" fontId="4" fillId="0" borderId="1" xfId="0" applyNumberFormat="1" applyFont="1" applyFill="1" applyBorder="1" applyAlignment="1"/>
    <xf numFmtId="3" fontId="4" fillId="0" borderId="0" xfId="0" applyNumberFormat="1" applyFont="1" applyFill="1" applyAlignment="1"/>
    <xf numFmtId="174" fontId="4" fillId="0" borderId="0" xfId="0" applyNumberFormat="1" applyFont="1" applyFill="1" applyAlignment="1">
      <alignment horizontal="left"/>
    </xf>
    <xf numFmtId="14" fontId="4" fillId="0" borderId="9" xfId="0" applyNumberFormat="1" applyFont="1" applyFill="1" applyBorder="1" applyAlignment="1">
      <alignment horizontal="right" vertical="center"/>
    </xf>
    <xf numFmtId="173" fontId="4" fillId="0" borderId="0" xfId="1" applyNumberFormat="1" applyFont="1" applyFill="1" applyBorder="1" applyAlignment="1"/>
    <xf numFmtId="0" fontId="3" fillId="0" borderId="0" xfId="0" applyFont="1" applyFill="1" applyAlignment="1"/>
    <xf numFmtId="0" fontId="4" fillId="0" borderId="0" xfId="3" applyFont="1" applyFill="1" applyAlignment="1"/>
    <xf numFmtId="173" fontId="4" fillId="0" borderId="0" xfId="1" applyNumberFormat="1" applyFont="1" applyFill="1" applyBorder="1" applyAlignment="1">
      <alignment horizontal="right"/>
    </xf>
    <xf numFmtId="0" fontId="4" fillId="0" borderId="14" xfId="0" applyFont="1" applyFill="1" applyBorder="1" applyAlignment="1"/>
    <xf numFmtId="6" fontId="4" fillId="0" borderId="0" xfId="0" applyNumberFormat="1" applyFont="1" applyFill="1" applyAlignment="1"/>
    <xf numFmtId="44" fontId="4" fillId="0" borderId="0" xfId="2" applyFont="1" applyFill="1" applyAlignment="1"/>
    <xf numFmtId="169" fontId="4" fillId="0" borderId="16" xfId="2" applyNumberFormat="1" applyFont="1" applyFill="1" applyBorder="1" applyAlignment="1"/>
    <xf numFmtId="14" fontId="9" fillId="0" borderId="0" xfId="0" applyNumberFormat="1" applyFont="1" applyFill="1" applyAlignment="1"/>
    <xf numFmtId="164" fontId="4" fillId="0" borderId="6" xfId="1" applyNumberFormat="1" applyFont="1" applyFill="1" applyBorder="1" applyAlignment="1"/>
    <xf numFmtId="164" fontId="0" fillId="0" borderId="0" xfId="0" applyNumberFormat="1"/>
    <xf numFmtId="0" fontId="2" fillId="5" borderId="17" xfId="0" applyFont="1" applyFill="1" applyBorder="1"/>
    <xf numFmtId="164" fontId="2" fillId="5" borderId="17" xfId="0" applyNumberFormat="1" applyFont="1" applyFill="1" applyBorder="1"/>
    <xf numFmtId="0" fontId="11" fillId="0" borderId="0" xfId="0" applyFont="1" applyFill="1" applyAlignment="1"/>
    <xf numFmtId="14" fontId="11" fillId="0" borderId="0" xfId="0" applyNumberFormat="1" applyFont="1" applyFill="1" applyAlignment="1"/>
    <xf numFmtId="49" fontId="11" fillId="0" borderId="0" xfId="0" applyNumberFormat="1" applyFont="1" applyFill="1" applyAlignment="1"/>
    <xf numFmtId="8" fontId="11" fillId="0" borderId="0" xfId="0" applyNumberFormat="1" applyFont="1" applyFill="1" applyAlignment="1"/>
    <xf numFmtId="3" fontId="11" fillId="0" borderId="0" xfId="0" applyNumberFormat="1" applyFont="1" applyFill="1" applyAlignment="1"/>
    <xf numFmtId="0" fontId="3" fillId="0" borderId="0" xfId="0" applyFont="1" applyFill="1" applyAlignment="1">
      <alignment horizontal="left" vertical="center"/>
    </xf>
    <xf numFmtId="14" fontId="3" fillId="0" borderId="0" xfId="0" applyNumberFormat="1" applyFont="1" applyFill="1" applyAlignment="1">
      <alignment horizontal="left" vertical="center"/>
    </xf>
    <xf numFmtId="164" fontId="3" fillId="0" borderId="0" xfId="1" applyNumberFormat="1" applyFont="1" applyFill="1" applyAlignment="1">
      <alignment horizontal="left" vertical="center"/>
    </xf>
    <xf numFmtId="165" fontId="4" fillId="0" borderId="0" xfId="1" applyNumberFormat="1" applyFont="1" applyFill="1" applyAlignment="1">
      <alignment horizontal="left"/>
    </xf>
    <xf numFmtId="166" fontId="4" fillId="0" borderId="0" xfId="1" applyNumberFormat="1" applyFont="1" applyFill="1" applyAlignment="1">
      <alignment horizontal="left"/>
    </xf>
    <xf numFmtId="0" fontId="3" fillId="0" borderId="0" xfId="0" applyFont="1" applyFill="1" applyAlignment="1">
      <alignment horizontal="left"/>
    </xf>
    <xf numFmtId="164" fontId="3" fillId="0" borderId="0" xfId="1" applyNumberFormat="1" applyFont="1" applyFill="1" applyAlignment="1">
      <alignment horizontal="left"/>
    </xf>
    <xf numFmtId="49" fontId="3" fillId="0" borderId="0" xfId="0" applyNumberFormat="1" applyFont="1" applyFill="1" applyAlignment="1">
      <alignment horizontal="left" vertical="center"/>
    </xf>
    <xf numFmtId="49" fontId="3" fillId="0" borderId="0" xfId="2" applyNumberFormat="1" applyFont="1" applyFill="1" applyAlignment="1">
      <alignment vertical="center"/>
    </xf>
    <xf numFmtId="49" fontId="3" fillId="0" borderId="0" xfId="1" applyNumberFormat="1" applyFont="1" applyFill="1" applyAlignment="1">
      <alignment horizontal="left" vertical="center"/>
    </xf>
    <xf numFmtId="49" fontId="4" fillId="0" borderId="0" xfId="0" applyNumberFormat="1" applyFont="1" applyFill="1" applyAlignment="1">
      <alignment horizontal="left"/>
    </xf>
    <xf numFmtId="49" fontId="4" fillId="0" borderId="0" xfId="0" applyNumberFormat="1" applyFont="1" applyFill="1" applyAlignment="1">
      <alignment horizontal="left" vertical="center"/>
    </xf>
    <xf numFmtId="49" fontId="4" fillId="0" borderId="0" xfId="1" applyNumberFormat="1" applyFont="1" applyFill="1" applyAlignment="1">
      <alignment horizontal="left"/>
    </xf>
    <xf numFmtId="49" fontId="3" fillId="0" borderId="0" xfId="0" applyNumberFormat="1" applyFont="1" applyFill="1" applyAlignment="1">
      <alignment horizontal="left"/>
    </xf>
    <xf numFmtId="49" fontId="3" fillId="0" borderId="0" xfId="1" applyNumberFormat="1" applyFont="1" applyFill="1" applyAlignment="1">
      <alignment horizontal="left"/>
    </xf>
    <xf numFmtId="49" fontId="0" fillId="0" borderId="0" xfId="0" applyNumberFormat="1"/>
    <xf numFmtId="169" fontId="20" fillId="0" borderId="0" xfId="2" applyNumberFormat="1" applyFont="1" applyFill="1" applyBorder="1" applyAlignment="1"/>
    <xf numFmtId="169" fontId="20" fillId="0" borderId="0" xfId="2" applyNumberFormat="1" applyFont="1" applyFill="1" applyAlignment="1"/>
    <xf numFmtId="169" fontId="16" fillId="0" borderId="0" xfId="2" applyNumberFormat="1" applyFont="1" applyFill="1" applyBorder="1" applyAlignment="1">
      <alignment horizontal="right"/>
    </xf>
    <xf numFmtId="169" fontId="18" fillId="0" borderId="0" xfId="2" applyNumberFormat="1" applyFont="1" applyFill="1" applyBorder="1" applyAlignment="1">
      <alignment horizontal="right" vertical="center"/>
    </xf>
    <xf numFmtId="164" fontId="18" fillId="0" borderId="0" xfId="1" applyNumberFormat="1" applyFont="1" applyFill="1" applyBorder="1" applyAlignment="1">
      <alignment horizontal="right" vertical="center"/>
    </xf>
    <xf numFmtId="169" fontId="18" fillId="0" borderId="1" xfId="2" applyNumberFormat="1" applyFont="1" applyFill="1" applyBorder="1" applyAlignment="1">
      <alignment horizontal="right" vertical="center"/>
    </xf>
    <xf numFmtId="169" fontId="16" fillId="0" borderId="1" xfId="2" applyNumberFormat="1" applyFont="1" applyFill="1" applyBorder="1" applyAlignment="1">
      <alignment horizontal="right"/>
    </xf>
    <xf numFmtId="44" fontId="4" fillId="0" borderId="0" xfId="2" applyFont="1" applyFill="1" applyBorder="1" applyAlignment="1"/>
    <xf numFmtId="169" fontId="27" fillId="0" borderId="0" xfId="2" applyNumberFormat="1" applyFont="1" applyFill="1" applyBorder="1" applyAlignment="1"/>
    <xf numFmtId="164" fontId="27" fillId="0" borderId="0" xfId="1" applyNumberFormat="1" applyFont="1" applyFill="1" applyBorder="1" applyAlignment="1"/>
    <xf numFmtId="169" fontId="3" fillId="0" borderId="0" xfId="2" applyNumberFormat="1" applyFont="1" applyFill="1" applyBorder="1" applyAlignment="1"/>
    <xf numFmtId="169" fontId="4" fillId="0" borderId="15" xfId="2" applyNumberFormat="1" applyFont="1" applyFill="1" applyBorder="1" applyAlignment="1"/>
    <xf numFmtId="0" fontId="22" fillId="0" borderId="0" xfId="0" applyFont="1" applyFill="1" applyAlignment="1"/>
    <xf numFmtId="0" fontId="18" fillId="0" borderId="0" xfId="0" applyFont="1" applyFill="1" applyAlignment="1">
      <alignment vertical="center"/>
    </xf>
    <xf numFmtId="3" fontId="14" fillId="0" borderId="0" xfId="0" applyNumberFormat="1" applyFont="1" applyFill="1" applyAlignment="1"/>
    <xf numFmtId="0" fontId="15" fillId="0" borderId="0" xfId="0" applyFont="1" applyFill="1" applyAlignment="1">
      <alignment horizontal="left" vertical="center"/>
    </xf>
    <xf numFmtId="14" fontId="18" fillId="0" borderId="0" xfId="0" applyNumberFormat="1" applyFont="1" applyFill="1" applyAlignment="1">
      <alignment horizontal="right" vertical="center"/>
    </xf>
    <xf numFmtId="0" fontId="14" fillId="0" borderId="0" xfId="0" applyFont="1" applyFill="1" applyAlignment="1"/>
    <xf numFmtId="0" fontId="17" fillId="0" borderId="0" xfId="0" applyFont="1" applyFill="1" applyAlignment="1">
      <alignment horizontal="left" vertical="center"/>
    </xf>
    <xf numFmtId="165" fontId="16" fillId="0" borderId="0" xfId="0" applyNumberFormat="1" applyFont="1" applyFill="1" applyAlignment="1"/>
    <xf numFmtId="166" fontId="16" fillId="0" borderId="0" xfId="0" applyNumberFormat="1" applyFont="1" applyFill="1" applyAlignment="1"/>
    <xf numFmtId="0" fontId="17" fillId="0" borderId="0" xfId="0" applyFont="1" applyFill="1" applyAlignment="1"/>
    <xf numFmtId="0" fontId="37" fillId="0" borderId="0" xfId="0" applyFont="1" applyFill="1" applyAlignment="1"/>
    <xf numFmtId="6" fontId="14" fillId="0" borderId="0" xfId="0" applyNumberFormat="1" applyFont="1" applyFill="1" applyAlignment="1"/>
    <xf numFmtId="169" fontId="38" fillId="0" borderId="0" xfId="2" applyNumberFormat="1" applyFont="1" applyFill="1" applyBorder="1" applyAlignment="1">
      <alignment vertical="center"/>
    </xf>
    <xf numFmtId="0" fontId="27" fillId="0" borderId="0" xfId="0" applyFont="1" applyFill="1" applyAlignment="1"/>
    <xf numFmtId="169" fontId="18" fillId="0" borderId="0" xfId="2" applyNumberFormat="1" applyFont="1" applyFill="1" applyBorder="1" applyAlignment="1">
      <alignment vertical="center"/>
    </xf>
    <xf numFmtId="0" fontId="39" fillId="0" borderId="0" xfId="0" applyFont="1" applyFill="1" applyAlignment="1"/>
    <xf numFmtId="0" fontId="18" fillId="0" borderId="0" xfId="0" applyFont="1" applyFill="1" applyAlignment="1">
      <alignment horizontal="right" vertical="center"/>
    </xf>
    <xf numFmtId="170" fontId="4" fillId="0" borderId="0" xfId="0" applyNumberFormat="1" applyFont="1" applyFill="1" applyAlignment="1">
      <alignment horizontal="right" vertical="center"/>
    </xf>
    <xf numFmtId="169" fontId="18" fillId="0" borderId="0" xfId="2" applyNumberFormat="1" applyFont="1" applyFill="1" applyAlignment="1">
      <alignment vertical="center"/>
    </xf>
    <xf numFmtId="0" fontId="40" fillId="0" borderId="0" xfId="0" applyFont="1" applyFill="1" applyAlignment="1"/>
    <xf numFmtId="0" fontId="16" fillId="0" borderId="0" xfId="0" applyFont="1" applyFill="1" applyAlignment="1">
      <alignment horizontal="left"/>
    </xf>
    <xf numFmtId="0" fontId="14" fillId="0" borderId="0" xfId="0" applyFont="1" applyFill="1" applyAlignment="1">
      <alignment horizontal="left" vertical="center"/>
    </xf>
    <xf numFmtId="0" fontId="4" fillId="0" borderId="0" xfId="0" applyFont="1" applyFill="1" applyAlignment="1">
      <alignment horizontal="left" vertical="top"/>
    </xf>
    <xf numFmtId="0" fontId="31" fillId="0" borderId="0" xfId="0" applyFont="1" applyFill="1" applyAlignment="1"/>
    <xf numFmtId="0" fontId="19" fillId="0" borderId="0" xfId="0" applyFont="1" applyFill="1" applyAlignment="1"/>
    <xf numFmtId="0" fontId="20" fillId="0" borderId="0" xfId="0" applyFont="1" applyFill="1" applyAlignment="1"/>
    <xf numFmtId="0" fontId="21" fillId="0" borderId="0" xfId="0" applyFont="1" applyFill="1" applyAlignment="1"/>
    <xf numFmtId="0" fontId="16" fillId="0" borderId="0" xfId="0" applyFont="1" applyFill="1" applyAlignment="1"/>
    <xf numFmtId="0" fontId="18" fillId="0" borderId="0" xfId="0" applyFont="1" applyFill="1" applyAlignment="1"/>
    <xf numFmtId="164" fontId="16" fillId="0" borderId="0" xfId="1" applyNumberFormat="1" applyFont="1" applyFill="1" applyBorder="1" applyAlignment="1">
      <alignment horizontal="right" vertical="center"/>
    </xf>
    <xf numFmtId="0" fontId="16" fillId="0" borderId="0" xfId="0" applyFont="1" applyFill="1" applyAlignment="1">
      <alignment horizontal="right" vertical="center"/>
    </xf>
    <xf numFmtId="8" fontId="16" fillId="0" borderId="0" xfId="0" applyNumberFormat="1" applyFont="1" applyFill="1" applyAlignment="1">
      <alignment horizontal="right" vertical="center"/>
    </xf>
    <xf numFmtId="14" fontId="18" fillId="0" borderId="0" xfId="0" applyNumberFormat="1" applyFont="1" applyFill="1" applyAlignment="1">
      <alignment horizontal="right"/>
    </xf>
    <xf numFmtId="3" fontId="24" fillId="0" borderId="0" xfId="0" applyNumberFormat="1" applyFont="1" applyFill="1" applyAlignment="1"/>
    <xf numFmtId="0" fontId="30" fillId="0" borderId="0" xfId="0" applyFont="1" applyFill="1" applyAlignment="1"/>
    <xf numFmtId="14" fontId="16" fillId="0" borderId="0" xfId="0" applyNumberFormat="1" applyFont="1" applyFill="1" applyAlignment="1">
      <alignment horizontal="right"/>
    </xf>
    <xf numFmtId="0" fontId="25" fillId="0" borderId="0" xfId="0" applyFont="1" applyFill="1" applyAlignment="1"/>
    <xf numFmtId="0" fontId="41" fillId="0" borderId="0" xfId="0" applyFont="1" applyFill="1" applyAlignment="1"/>
    <xf numFmtId="174" fontId="16" fillId="0" borderId="0" xfId="0" applyNumberFormat="1" applyFont="1" applyFill="1" applyAlignment="1">
      <alignment horizontal="left"/>
    </xf>
    <xf numFmtId="0" fontId="24" fillId="0" borderId="0" xfId="0" applyFont="1" applyFill="1" applyAlignment="1"/>
    <xf numFmtId="14" fontId="26" fillId="0" borderId="0" xfId="0" applyNumberFormat="1" applyFont="1" applyFill="1" applyAlignment="1"/>
    <xf numFmtId="0" fontId="23" fillId="0" borderId="0" xfId="0" applyFont="1" applyFill="1" applyAlignment="1"/>
    <xf numFmtId="0" fontId="27" fillId="0" borderId="0" xfId="0" applyFont="1" applyFill="1" applyAlignment="1">
      <alignment vertical="center"/>
    </xf>
    <xf numFmtId="0" fontId="28" fillId="0" borderId="0" xfId="0" applyFont="1" applyFill="1" applyAlignment="1"/>
    <xf numFmtId="0" fontId="29" fillId="0" borderId="0" xfId="0" applyFont="1" applyFill="1" applyAlignment="1"/>
    <xf numFmtId="0" fontId="32" fillId="0" borderId="0" xfId="0" applyFont="1" applyFill="1" applyAlignment="1"/>
    <xf numFmtId="0" fontId="16" fillId="0" borderId="10" xfId="0" applyFont="1" applyFill="1" applyBorder="1" applyAlignment="1">
      <alignment horizontal="left"/>
    </xf>
    <xf numFmtId="0" fontId="33" fillId="0" borderId="0" xfId="0" applyFont="1" applyFill="1" applyAlignment="1">
      <alignment vertical="center"/>
    </xf>
    <xf numFmtId="0" fontId="34" fillId="0" borderId="0" xfId="0" applyFont="1" applyFill="1" applyAlignment="1"/>
    <xf numFmtId="3" fontId="27" fillId="0" borderId="0" xfId="0" applyNumberFormat="1" applyFont="1" applyFill="1" applyAlignment="1"/>
    <xf numFmtId="6" fontId="4" fillId="0" borderId="5" xfId="0" applyNumberFormat="1" applyFont="1" applyFill="1" applyBorder="1" applyAlignment="1"/>
    <xf numFmtId="0" fontId="42" fillId="0" borderId="0" xfId="0" applyFont="1" applyFill="1" applyAlignment="1"/>
    <xf numFmtId="0" fontId="30" fillId="0" borderId="0" xfId="0" applyFont="1" applyFill="1" applyAlignment="1">
      <alignment vertical="center"/>
    </xf>
    <xf numFmtId="0" fontId="43" fillId="0" borderId="0" xfId="0" applyFont="1" applyFill="1" applyAlignment="1"/>
    <xf numFmtId="0" fontId="35" fillId="0" borderId="0" xfId="0" applyFont="1" applyFill="1" applyAlignment="1"/>
    <xf numFmtId="0" fontId="44" fillId="0" borderId="0" xfId="0" applyFont="1" applyFill="1" applyAlignment="1"/>
    <xf numFmtId="3" fontId="30" fillId="0" borderId="0" xfId="0" applyNumberFormat="1" applyFont="1" applyFill="1" applyAlignment="1"/>
    <xf numFmtId="171" fontId="4" fillId="0" borderId="9" xfId="0" applyNumberFormat="1" applyFont="1" applyFill="1" applyBorder="1" applyAlignment="1"/>
    <xf numFmtId="0" fontId="41" fillId="0" borderId="0" xfId="0" applyFont="1" applyFill="1" applyAlignment="1">
      <alignment vertical="center"/>
    </xf>
    <xf numFmtId="0" fontId="45" fillId="0" borderId="0" xfId="0" applyFont="1" applyFill="1" applyAlignment="1"/>
    <xf numFmtId="0" fontId="46" fillId="0" borderId="0" xfId="0" applyFont="1" applyFill="1" applyAlignment="1"/>
    <xf numFmtId="6" fontId="33" fillId="0" borderId="0" xfId="0" applyNumberFormat="1" applyFont="1" applyFill="1" applyAlignment="1"/>
    <xf numFmtId="0" fontId="13" fillId="0" borderId="0" xfId="0" applyFont="1" applyFill="1" applyAlignment="1"/>
    <xf numFmtId="0" fontId="47" fillId="0" borderId="0" xfId="0" applyFont="1" applyFill="1" applyAlignment="1"/>
    <xf numFmtId="3" fontId="15" fillId="0" borderId="0" xfId="0" applyNumberFormat="1" applyFont="1" applyFill="1" applyAlignment="1"/>
    <xf numFmtId="0" fontId="36" fillId="0" borderId="0" xfId="0" applyFont="1" applyFill="1" applyAlignment="1"/>
    <xf numFmtId="14" fontId="4" fillId="0" borderId="0" xfId="0" applyNumberFormat="1" applyFont="1" applyFill="1" applyBorder="1" applyAlignment="1"/>
    <xf numFmtId="14" fontId="16" fillId="0" borderId="1" xfId="0" applyNumberFormat="1" applyFont="1" applyFill="1" applyBorder="1" applyAlignment="1">
      <alignment horizontal="right"/>
    </xf>
    <xf numFmtId="14" fontId="4" fillId="0" borderId="0" xfId="0" applyNumberFormat="1" applyFont="1" applyFill="1" applyBorder="1" applyAlignment="1">
      <alignment horizontal="right" vertical="center"/>
    </xf>
    <xf numFmtId="14" fontId="4" fillId="0" borderId="0" xfId="0" applyNumberFormat="1" applyFont="1" applyFill="1" applyBorder="1" applyAlignment="1">
      <alignment horizontal="right"/>
    </xf>
    <xf numFmtId="14" fontId="26" fillId="0" borderId="0" xfId="0" applyNumberFormat="1" applyFont="1" applyFill="1" applyBorder="1" applyAlignment="1"/>
    <xf numFmtId="14" fontId="3" fillId="0" borderId="9" xfId="0" applyNumberFormat="1" applyFont="1" applyFill="1" applyBorder="1" applyAlignment="1"/>
    <xf numFmtId="0" fontId="4" fillId="0" borderId="0" xfId="0" applyFont="1" applyFill="1" applyBorder="1" applyAlignment="1"/>
    <xf numFmtId="0" fontId="4" fillId="0" borderId="0" xfId="0" applyFont="1" applyFill="1" applyBorder="1" applyAlignment="1">
      <alignment vertical="center"/>
    </xf>
    <xf numFmtId="16" fontId="4" fillId="0" borderId="0" xfId="0" applyNumberFormat="1" applyFont="1" applyFill="1" applyBorder="1" applyAlignment="1"/>
    <xf numFmtId="49" fontId="4" fillId="0" borderId="0" xfId="0" applyNumberFormat="1" applyFont="1" applyFill="1" applyBorder="1" applyAlignment="1"/>
    <xf numFmtId="0" fontId="4" fillId="0" borderId="13" xfId="0" applyFont="1" applyFill="1" applyBorder="1" applyAlignment="1"/>
    <xf numFmtId="0" fontId="16" fillId="0" borderId="5" xfId="0" applyFont="1" applyFill="1" applyBorder="1" applyAlignment="1">
      <alignment horizontal="left"/>
    </xf>
    <xf numFmtId="49" fontId="4" fillId="0" borderId="9" xfId="0" applyNumberFormat="1" applyFont="1" applyFill="1" applyBorder="1" applyAlignment="1"/>
    <xf numFmtId="164" fontId="4" fillId="0" borderId="16" xfId="1" applyNumberFormat="1" applyFont="1" applyFill="1" applyBorder="1" applyAlignment="1"/>
    <xf numFmtId="174" fontId="4" fillId="0" borderId="5" xfId="0" applyNumberFormat="1" applyFont="1" applyFill="1" applyBorder="1" applyAlignment="1">
      <alignment horizontal="right"/>
    </xf>
    <xf numFmtId="173" fontId="4" fillId="0" borderId="1" xfId="1" applyNumberFormat="1" applyFont="1" applyFill="1" applyBorder="1" applyAlignment="1"/>
    <xf numFmtId="171" fontId="4" fillId="0" borderId="0" xfId="0" applyNumberFormat="1" applyFont="1" applyFill="1" applyBorder="1" applyAlignment="1"/>
    <xf numFmtId="8" fontId="4" fillId="0" borderId="0" xfId="0" applyNumberFormat="1" applyFont="1" applyFill="1" applyBorder="1" applyAlignment="1"/>
    <xf numFmtId="0" fontId="18" fillId="0" borderId="0" xfId="0" applyFont="1" applyFill="1" applyBorder="1" applyAlignment="1">
      <alignment vertical="center"/>
    </xf>
    <xf numFmtId="169" fontId="16" fillId="0" borderId="9" xfId="2" applyNumberFormat="1" applyFont="1" applyFill="1" applyBorder="1" applyAlignment="1">
      <alignment horizontal="right"/>
    </xf>
    <xf numFmtId="0" fontId="4" fillId="0" borderId="0" xfId="0" applyFont="1"/>
    <xf numFmtId="0" fontId="2" fillId="0" borderId="0" xfId="0" applyFont="1" applyFill="1" applyBorder="1"/>
    <xf numFmtId="0" fontId="0" fillId="0" borderId="0" xfId="0" applyFill="1" applyBorder="1"/>
    <xf numFmtId="169" fontId="0" fillId="0" borderId="0" xfId="2" applyNumberFormat="1" applyFont="1" applyFill="1" applyBorder="1"/>
    <xf numFmtId="164" fontId="0" fillId="0" borderId="0" xfId="1" applyNumberFormat="1" applyFont="1" applyFill="1" applyBorder="1"/>
    <xf numFmtId="164" fontId="0" fillId="0" borderId="0" xfId="0" applyNumberFormat="1" applyFill="1" applyBorder="1"/>
    <xf numFmtId="169" fontId="4" fillId="6" borderId="5" xfId="2" applyNumberFormat="1" applyFont="1" applyFill="1" applyBorder="1" applyAlignment="1"/>
    <xf numFmtId="0" fontId="7" fillId="6" borderId="0" xfId="0" applyFont="1" applyFill="1" applyAlignment="1"/>
    <xf numFmtId="0" fontId="48" fillId="0" borderId="0" xfId="0" applyFont="1"/>
    <xf numFmtId="14" fontId="48" fillId="0" borderId="0" xfId="0" applyNumberFormat="1" applyFont="1"/>
    <xf numFmtId="164" fontId="4" fillId="0" borderId="0" xfId="1" applyNumberFormat="1" applyFont="1" applyAlignment="1"/>
    <xf numFmtId="164" fontId="48" fillId="0" borderId="0" xfId="1" applyNumberFormat="1" applyFont="1" applyAlignment="1"/>
    <xf numFmtId="0" fontId="49" fillId="0" borderId="0" xfId="3" applyFont="1" applyFill="1" applyAlignment="1"/>
    <xf numFmtId="0" fontId="50" fillId="0" borderId="0" xfId="0" applyFont="1"/>
    <xf numFmtId="169" fontId="48" fillId="0" borderId="0" xfId="2" applyNumberFormat="1" applyFont="1" applyAlignment="1"/>
    <xf numFmtId="16" fontId="48" fillId="0" borderId="0" xfId="0" applyNumberFormat="1" applyFont="1"/>
    <xf numFmtId="0" fontId="51" fillId="0" borderId="0" xfId="0" applyFont="1"/>
    <xf numFmtId="0" fontId="52" fillId="0" borderId="0" xfId="0" applyFont="1"/>
    <xf numFmtId="0" fontId="53" fillId="0" borderId="0" xfId="0" applyFont="1"/>
    <xf numFmtId="0" fontId="54" fillId="0" borderId="0" xfId="0" applyFont="1"/>
    <xf numFmtId="0" fontId="48" fillId="0" borderId="0" xfId="0" applyFont="1" applyFill="1" applyAlignment="1"/>
    <xf numFmtId="0" fontId="55" fillId="0" borderId="0" xfId="0" applyFont="1"/>
    <xf numFmtId="0" fontId="48" fillId="0" borderId="0" xfId="0" applyFont="1" applyAlignment="1"/>
    <xf numFmtId="0" fontId="2" fillId="0" borderId="0" xfId="0" applyFont="1"/>
    <xf numFmtId="9" fontId="0" fillId="0" borderId="0" xfId="4" applyFont="1"/>
    <xf numFmtId="0" fontId="57" fillId="0" borderId="0" xfId="0" applyFont="1" applyFill="1" applyAlignment="1"/>
    <xf numFmtId="14" fontId="57" fillId="0" borderId="0" xfId="0" applyNumberFormat="1" applyFont="1" applyFill="1" applyAlignment="1"/>
    <xf numFmtId="16" fontId="57" fillId="0" borderId="0" xfId="0" applyNumberFormat="1" applyFont="1" applyFill="1" applyAlignment="1"/>
    <xf numFmtId="164" fontId="57" fillId="0" borderId="0" xfId="1" applyNumberFormat="1" applyFont="1" applyFill="1" applyAlignment="1"/>
    <xf numFmtId="164" fontId="57" fillId="0" borderId="0" xfId="1" applyNumberFormat="1" applyFont="1" applyFill="1" applyBorder="1" applyAlignment="1"/>
    <xf numFmtId="171" fontId="57" fillId="0" borderId="0" xfId="0" applyNumberFormat="1" applyFont="1" applyFill="1" applyAlignment="1"/>
    <xf numFmtId="169" fontId="57" fillId="0" borderId="0" xfId="2" applyNumberFormat="1" applyFont="1" applyFill="1" applyAlignment="1"/>
    <xf numFmtId="169" fontId="48" fillId="0" borderId="0" xfId="2" applyNumberFormat="1" applyFont="1"/>
    <xf numFmtId="0" fontId="58" fillId="0" borderId="0" xfId="0" applyFont="1" applyFill="1" applyAlignment="1"/>
    <xf numFmtId="0" fontId="58" fillId="0" borderId="0" xfId="0" applyFont="1"/>
    <xf numFmtId="0" fontId="11" fillId="0" borderId="9" xfId="0" applyFont="1" applyFill="1" applyBorder="1" applyAlignment="1"/>
    <xf numFmtId="0" fontId="58" fillId="0" borderId="0" xfId="0" applyFont="1" applyAlignment="1"/>
    <xf numFmtId="0" fontId="4" fillId="0" borderId="0" xfId="0" applyFont="1" applyFill="1" applyAlignment="1">
      <alignment wrapText="1"/>
    </xf>
    <xf numFmtId="0" fontId="4" fillId="0" borderId="0" xfId="0" applyFont="1" applyAlignment="1"/>
    <xf numFmtId="0" fontId="0" fillId="2" borderId="0" xfId="0" applyFill="1" applyAlignment="1">
      <alignment vertical="top"/>
    </xf>
    <xf numFmtId="164" fontId="0" fillId="2" borderId="0" xfId="1" applyNumberFormat="1" applyFont="1" applyFill="1" applyAlignment="1"/>
    <xf numFmtId="164" fontId="0" fillId="0" borderId="0" xfId="1" applyNumberFormat="1" applyFont="1" applyFill="1" applyAlignment="1"/>
    <xf numFmtId="0" fontId="4" fillId="0" borderId="0" xfId="0" applyFont="1" applyFill="1"/>
    <xf numFmtId="0" fontId="48" fillId="0" borderId="0" xfId="0" applyFont="1" applyFill="1"/>
    <xf numFmtId="0" fontId="58" fillId="0" borderId="0" xfId="0" applyFont="1" applyFill="1" applyAlignment="1">
      <alignment vertical="center"/>
    </xf>
    <xf numFmtId="0" fontId="57" fillId="0" borderId="0" xfId="0" applyFont="1" applyFill="1"/>
    <xf numFmtId="0" fontId="58" fillId="0" borderId="0" xfId="0" applyFont="1" applyFill="1"/>
    <xf numFmtId="164" fontId="48" fillId="0" borderId="0" xfId="1" applyNumberFormat="1" applyFont="1" applyFill="1" applyAlignment="1"/>
    <xf numFmtId="14" fontId="0" fillId="0" borderId="0" xfId="0" applyNumberFormat="1" applyFill="1"/>
    <xf numFmtId="0" fontId="0" fillId="0" borderId="0" xfId="0" applyFill="1"/>
    <xf numFmtId="0" fontId="55" fillId="0" borderId="0" xfId="0" applyFont="1" applyFill="1"/>
    <xf numFmtId="16" fontId="0" fillId="0" borderId="0" xfId="0" applyNumberFormat="1" applyFill="1"/>
    <xf numFmtId="0" fontId="56" fillId="0" borderId="0" xfId="0" applyFont="1" applyFill="1"/>
    <xf numFmtId="14" fontId="48" fillId="0" borderId="0" xfId="0" applyNumberFormat="1" applyFont="1" applyFill="1"/>
    <xf numFmtId="16" fontId="48" fillId="0" borderId="0" xfId="0" applyNumberFormat="1" applyFont="1" applyFill="1"/>
    <xf numFmtId="0" fontId="11" fillId="0" borderId="0" xfId="0" applyFont="1" applyFill="1"/>
    <xf numFmtId="49" fontId="11" fillId="0" borderId="0" xfId="0" applyNumberFormat="1" applyFont="1" applyFill="1"/>
    <xf numFmtId="0" fontId="59" fillId="0" borderId="0" xfId="0" applyFont="1" applyFill="1"/>
    <xf numFmtId="14" fontId="59" fillId="0" borderId="0" xfId="0" applyNumberFormat="1" applyFont="1" applyFill="1"/>
    <xf numFmtId="169" fontId="59" fillId="0" borderId="0" xfId="2" applyNumberFormat="1" applyFont="1" applyFill="1" applyAlignment="1"/>
    <xf numFmtId="164" fontId="59" fillId="0" borderId="0" xfId="1" applyNumberFormat="1" applyFont="1" applyFill="1" applyAlignment="1"/>
    <xf numFmtId="0" fontId="60" fillId="0" borderId="0" xfId="0" applyFont="1" applyFill="1"/>
    <xf numFmtId="0" fontId="59" fillId="0" borderId="0" xfId="0" applyFont="1" applyFill="1" applyAlignment="1"/>
    <xf numFmtId="49" fontId="59" fillId="0" borderId="0" xfId="0" applyNumberFormat="1" applyFont="1" applyFill="1"/>
    <xf numFmtId="171" fontId="59" fillId="0" borderId="0" xfId="0" applyNumberFormat="1" applyFont="1" applyFill="1"/>
    <xf numFmtId="164" fontId="11" fillId="0" borderId="9" xfId="1" applyNumberFormat="1" applyFont="1" applyFill="1" applyBorder="1" applyAlignment="1"/>
    <xf numFmtId="164" fontId="59" fillId="0" borderId="0" xfId="1" applyNumberFormat="1" applyFont="1" applyFill="1"/>
    <xf numFmtId="0" fontId="59" fillId="0" borderId="0" xfId="0" applyFont="1" applyAlignment="1"/>
    <xf numFmtId="0" fontId="61" fillId="0" borderId="0" xfId="0" applyFont="1" applyFill="1"/>
    <xf numFmtId="14" fontId="61" fillId="0" borderId="0" xfId="0" applyNumberFormat="1" applyFont="1" applyFill="1"/>
    <xf numFmtId="0" fontId="62" fillId="0" borderId="0" xfId="0" applyFont="1" applyFill="1"/>
    <xf numFmtId="164" fontId="61" fillId="0" borderId="0" xfId="1" applyNumberFormat="1" applyFont="1" applyFill="1"/>
    <xf numFmtId="169" fontId="61" fillId="0" borderId="0" xfId="2" applyNumberFormat="1" applyFont="1" applyFill="1" applyAlignment="1"/>
    <xf numFmtId="164" fontId="61" fillId="0" borderId="0" xfId="1" applyNumberFormat="1" applyFont="1" applyFill="1" applyAlignment="1"/>
    <xf numFmtId="164" fontId="61" fillId="0" borderId="9" xfId="1" applyNumberFormat="1" applyFont="1" applyFill="1" applyBorder="1" applyAlignment="1"/>
    <xf numFmtId="0" fontId="63" fillId="0" borderId="0" xfId="3" applyFont="1" applyFill="1" applyAlignment="1"/>
    <xf numFmtId="0" fontId="62" fillId="0" borderId="0" xfId="0" applyFont="1"/>
    <xf numFmtId="0" fontId="62" fillId="0" borderId="0" xfId="0" applyFont="1" applyFill="1" applyAlignment="1"/>
    <xf numFmtId="169" fontId="61" fillId="0" borderId="0" xfId="2" applyNumberFormat="1" applyFont="1" applyFill="1" applyBorder="1" applyAlignment="1"/>
    <xf numFmtId="164" fontId="61" fillId="0" borderId="0" xfId="1" applyNumberFormat="1" applyFont="1" applyFill="1" applyBorder="1" applyAlignment="1"/>
    <xf numFmtId="0" fontId="61" fillId="0" borderId="10" xfId="0" applyFont="1" applyFill="1" applyBorder="1"/>
    <xf numFmtId="169" fontId="61" fillId="0" borderId="9" xfId="2" applyNumberFormat="1" applyFont="1" applyFill="1" applyBorder="1" applyAlignment="1"/>
    <xf numFmtId="49" fontId="61" fillId="0" borderId="0" xfId="0" applyNumberFormat="1" applyFont="1" applyFill="1"/>
    <xf numFmtId="171" fontId="61" fillId="0" borderId="9" xfId="0" applyNumberFormat="1" applyFont="1" applyFill="1" applyBorder="1"/>
    <xf numFmtId="0" fontId="61" fillId="0" borderId="0" xfId="0" applyFont="1" applyFill="1" applyAlignment="1">
      <alignment vertical="center"/>
    </xf>
    <xf numFmtId="14" fontId="61" fillId="0" borderId="12" xfId="0" applyNumberFormat="1" applyFont="1" applyFill="1" applyBorder="1"/>
    <xf numFmtId="14" fontId="61" fillId="0" borderId="9" xfId="0" applyNumberFormat="1" applyFont="1" applyFill="1" applyBorder="1"/>
    <xf numFmtId="171" fontId="61" fillId="0" borderId="0" xfId="0" applyNumberFormat="1" applyFont="1" applyFill="1"/>
  </cellXfs>
  <cellStyles count="5">
    <cellStyle name="Comma" xfId="1" builtinId="3"/>
    <cellStyle name="Currency" xfId="2" builtinId="4"/>
    <cellStyle name="Hyperlink" xfId="3" builtinId="8"/>
    <cellStyle name="Normal" xfId="0" builtinId="0"/>
    <cellStyle name="Percent" xfId="4"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865"/>
      <color rgb="FF78BE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Business</a:t>
            </a:r>
            <a:r>
              <a:rPr lang="en-US" sz="1800" b="1" baseline="0"/>
              <a:t> Expansion Projects and Projected New Jobs, Quarterly, 2019-2025</a:t>
            </a:r>
            <a:endParaRPr lang="en-US" sz="1800" b="1"/>
          </a:p>
        </c:rich>
      </c:tx>
      <c:layout>
        <c:manualLayout>
          <c:xMode val="edge"/>
          <c:yMode val="edge"/>
          <c:x val="6.1656321906771339E-2"/>
          <c:y val="0"/>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'pivot current'!$I$17</c:f>
              <c:strCache>
                <c:ptCount val="1"/>
                <c:pt idx="0">
                  <c:v>Number of Projects (Left Axis)</c:v>
                </c:pt>
              </c:strCache>
            </c:strRef>
          </c:tx>
          <c:spPr>
            <a:ln w="28575" cap="rnd">
              <a:solidFill>
                <a:srgbClr val="003865"/>
              </a:solidFill>
              <a:round/>
            </a:ln>
            <a:effectLst/>
          </c:spPr>
          <c:marker>
            <c:symbol val="none"/>
          </c:marker>
          <c:cat>
            <c:strRef>
              <c:f>'pivot current'!$H$18:$H$45</c:f>
              <c:strCache>
                <c:ptCount val="28"/>
                <c:pt idx="0">
                  <c:v>2019-Q1</c:v>
                </c:pt>
                <c:pt idx="1">
                  <c:v>2019-Q2</c:v>
                </c:pt>
                <c:pt idx="2">
                  <c:v>2019-Q3</c:v>
                </c:pt>
                <c:pt idx="3">
                  <c:v>2019-Q4</c:v>
                </c:pt>
                <c:pt idx="4">
                  <c:v>2020-Q1</c:v>
                </c:pt>
                <c:pt idx="5">
                  <c:v>2020-Q2</c:v>
                </c:pt>
                <c:pt idx="6">
                  <c:v>2020-Q3</c:v>
                </c:pt>
                <c:pt idx="7">
                  <c:v>2020-Q4</c:v>
                </c:pt>
                <c:pt idx="8">
                  <c:v>2021-Q1</c:v>
                </c:pt>
                <c:pt idx="9">
                  <c:v>2021-Q2</c:v>
                </c:pt>
                <c:pt idx="10">
                  <c:v>2021-Q3</c:v>
                </c:pt>
                <c:pt idx="11">
                  <c:v>2021-Q4</c:v>
                </c:pt>
                <c:pt idx="12">
                  <c:v>2022-Q1</c:v>
                </c:pt>
                <c:pt idx="13">
                  <c:v>2022-Q2</c:v>
                </c:pt>
                <c:pt idx="14">
                  <c:v>2022-Q3</c:v>
                </c:pt>
                <c:pt idx="15">
                  <c:v>2022-Q4</c:v>
                </c:pt>
                <c:pt idx="16">
                  <c:v>2023-Q1</c:v>
                </c:pt>
                <c:pt idx="17">
                  <c:v>2023-Q2</c:v>
                </c:pt>
                <c:pt idx="18">
                  <c:v>2023-Q3</c:v>
                </c:pt>
                <c:pt idx="19">
                  <c:v>2023-Q4</c:v>
                </c:pt>
                <c:pt idx="20">
                  <c:v>2024-Q1</c:v>
                </c:pt>
                <c:pt idx="21">
                  <c:v>2024-Q2</c:v>
                </c:pt>
                <c:pt idx="22">
                  <c:v>2024-Q3</c:v>
                </c:pt>
                <c:pt idx="23">
                  <c:v>2024-Q4</c:v>
                </c:pt>
                <c:pt idx="24">
                  <c:v>2025-Q1</c:v>
                </c:pt>
                <c:pt idx="25">
                  <c:v>2025-Q2</c:v>
                </c:pt>
                <c:pt idx="26">
                  <c:v>2025-Q3</c:v>
                </c:pt>
                <c:pt idx="27">
                  <c:v>2025-Q4</c:v>
                </c:pt>
              </c:strCache>
            </c:strRef>
          </c:cat>
          <c:val>
            <c:numRef>
              <c:f>'pivot current'!$I$18:$I$45</c:f>
              <c:numCache>
                <c:formatCode>General</c:formatCode>
                <c:ptCount val="28"/>
                <c:pt idx="0">
                  <c:v>44</c:v>
                </c:pt>
                <c:pt idx="1">
                  <c:v>54</c:v>
                </c:pt>
                <c:pt idx="2">
                  <c:v>53</c:v>
                </c:pt>
                <c:pt idx="3">
                  <c:v>27</c:v>
                </c:pt>
                <c:pt idx="4">
                  <c:v>40</c:v>
                </c:pt>
                <c:pt idx="5">
                  <c:v>38</c:v>
                </c:pt>
                <c:pt idx="6">
                  <c:v>46</c:v>
                </c:pt>
                <c:pt idx="7">
                  <c:v>31</c:v>
                </c:pt>
                <c:pt idx="8">
                  <c:v>36</c:v>
                </c:pt>
                <c:pt idx="9">
                  <c:v>39</c:v>
                </c:pt>
                <c:pt idx="10">
                  <c:v>43</c:v>
                </c:pt>
                <c:pt idx="11">
                  <c:v>27</c:v>
                </c:pt>
                <c:pt idx="12">
                  <c:v>45</c:v>
                </c:pt>
                <c:pt idx="13">
                  <c:v>34</c:v>
                </c:pt>
                <c:pt idx="14">
                  <c:v>30</c:v>
                </c:pt>
                <c:pt idx="15">
                  <c:v>30</c:v>
                </c:pt>
                <c:pt idx="16">
                  <c:v>36</c:v>
                </c:pt>
                <c:pt idx="17">
                  <c:v>35</c:v>
                </c:pt>
                <c:pt idx="18">
                  <c:v>19</c:v>
                </c:pt>
                <c:pt idx="19">
                  <c:v>22</c:v>
                </c:pt>
                <c:pt idx="20">
                  <c:v>33</c:v>
                </c:pt>
                <c:pt idx="21">
                  <c:v>21</c:v>
                </c:pt>
                <c:pt idx="22">
                  <c:v>39</c:v>
                </c:pt>
                <c:pt idx="23">
                  <c:v>23</c:v>
                </c:pt>
                <c:pt idx="24">
                  <c:v>29</c:v>
                </c:pt>
                <c:pt idx="25">
                  <c:v>34</c:v>
                </c:pt>
                <c:pt idx="26">
                  <c:v>29</c:v>
                </c:pt>
                <c:pt idx="27">
                  <c:v>30</c:v>
                </c:pt>
              </c:numCache>
            </c:numRef>
          </c:val>
          <c:smooth val="0"/>
          <c:extLst>
            <c:ext xmlns:c16="http://schemas.microsoft.com/office/drawing/2014/chart" uri="{C3380CC4-5D6E-409C-BE32-E72D297353CC}">
              <c16:uniqueId val="{00000000-D775-4E73-BBD8-E731535D9279}"/>
            </c:ext>
          </c:extLst>
        </c:ser>
        <c:dLbls>
          <c:showLegendKey val="0"/>
          <c:showVal val="0"/>
          <c:showCatName val="0"/>
          <c:showSerName val="0"/>
          <c:showPercent val="0"/>
          <c:showBubbleSize val="0"/>
        </c:dLbls>
        <c:marker val="1"/>
        <c:smooth val="0"/>
        <c:axId val="928927296"/>
        <c:axId val="928927656"/>
      </c:lineChart>
      <c:lineChart>
        <c:grouping val="standard"/>
        <c:varyColors val="0"/>
        <c:ser>
          <c:idx val="1"/>
          <c:order val="1"/>
          <c:tx>
            <c:strRef>
              <c:f>'pivot current'!$J$17</c:f>
              <c:strCache>
                <c:ptCount val="1"/>
                <c:pt idx="0">
                  <c:v>Projected New Jobs (Right Axis)</c:v>
                </c:pt>
              </c:strCache>
            </c:strRef>
          </c:tx>
          <c:spPr>
            <a:ln w="31750" cap="rnd">
              <a:solidFill>
                <a:srgbClr val="78BE21"/>
              </a:solidFill>
              <a:round/>
            </a:ln>
            <a:effectLst/>
          </c:spPr>
          <c:marker>
            <c:symbol val="none"/>
          </c:marker>
          <c:cat>
            <c:strRef>
              <c:f>'pivot current'!$H$18:$H$45</c:f>
              <c:strCache>
                <c:ptCount val="28"/>
                <c:pt idx="0">
                  <c:v>2019-Q1</c:v>
                </c:pt>
                <c:pt idx="1">
                  <c:v>2019-Q2</c:v>
                </c:pt>
                <c:pt idx="2">
                  <c:v>2019-Q3</c:v>
                </c:pt>
                <c:pt idx="3">
                  <c:v>2019-Q4</c:v>
                </c:pt>
                <c:pt idx="4">
                  <c:v>2020-Q1</c:v>
                </c:pt>
                <c:pt idx="5">
                  <c:v>2020-Q2</c:v>
                </c:pt>
                <c:pt idx="6">
                  <c:v>2020-Q3</c:v>
                </c:pt>
                <c:pt idx="7">
                  <c:v>2020-Q4</c:v>
                </c:pt>
                <c:pt idx="8">
                  <c:v>2021-Q1</c:v>
                </c:pt>
                <c:pt idx="9">
                  <c:v>2021-Q2</c:v>
                </c:pt>
                <c:pt idx="10">
                  <c:v>2021-Q3</c:v>
                </c:pt>
                <c:pt idx="11">
                  <c:v>2021-Q4</c:v>
                </c:pt>
                <c:pt idx="12">
                  <c:v>2022-Q1</c:v>
                </c:pt>
                <c:pt idx="13">
                  <c:v>2022-Q2</c:v>
                </c:pt>
                <c:pt idx="14">
                  <c:v>2022-Q3</c:v>
                </c:pt>
                <c:pt idx="15">
                  <c:v>2022-Q4</c:v>
                </c:pt>
                <c:pt idx="16">
                  <c:v>2023-Q1</c:v>
                </c:pt>
                <c:pt idx="17">
                  <c:v>2023-Q2</c:v>
                </c:pt>
                <c:pt idx="18">
                  <c:v>2023-Q3</c:v>
                </c:pt>
                <c:pt idx="19">
                  <c:v>2023-Q4</c:v>
                </c:pt>
                <c:pt idx="20">
                  <c:v>2024-Q1</c:v>
                </c:pt>
                <c:pt idx="21">
                  <c:v>2024-Q2</c:v>
                </c:pt>
                <c:pt idx="22">
                  <c:v>2024-Q3</c:v>
                </c:pt>
                <c:pt idx="23">
                  <c:v>2024-Q4</c:v>
                </c:pt>
                <c:pt idx="24">
                  <c:v>2025-Q1</c:v>
                </c:pt>
                <c:pt idx="25">
                  <c:v>2025-Q2</c:v>
                </c:pt>
                <c:pt idx="26">
                  <c:v>2025-Q3</c:v>
                </c:pt>
                <c:pt idx="27">
                  <c:v>2025-Q4</c:v>
                </c:pt>
              </c:strCache>
            </c:strRef>
          </c:cat>
          <c:val>
            <c:numRef>
              <c:f>'pivot current'!$J$18:$J$45</c:f>
              <c:numCache>
                <c:formatCode>General</c:formatCode>
                <c:ptCount val="28"/>
                <c:pt idx="0">
                  <c:v>1030</c:v>
                </c:pt>
                <c:pt idx="1">
                  <c:v>1141</c:v>
                </c:pt>
                <c:pt idx="2">
                  <c:v>1927</c:v>
                </c:pt>
                <c:pt idx="3">
                  <c:v>1317</c:v>
                </c:pt>
                <c:pt idx="4">
                  <c:v>1698</c:v>
                </c:pt>
                <c:pt idx="5">
                  <c:v>5722</c:v>
                </c:pt>
                <c:pt idx="6">
                  <c:v>711</c:v>
                </c:pt>
                <c:pt idx="7">
                  <c:v>1436</c:v>
                </c:pt>
                <c:pt idx="8">
                  <c:v>1385</c:v>
                </c:pt>
                <c:pt idx="9">
                  <c:v>1795</c:v>
                </c:pt>
                <c:pt idx="10">
                  <c:v>2452</c:v>
                </c:pt>
                <c:pt idx="11">
                  <c:v>2415</c:v>
                </c:pt>
                <c:pt idx="12">
                  <c:v>2004</c:v>
                </c:pt>
                <c:pt idx="13">
                  <c:v>1792</c:v>
                </c:pt>
                <c:pt idx="14">
                  <c:v>1019</c:v>
                </c:pt>
                <c:pt idx="15">
                  <c:v>914</c:v>
                </c:pt>
                <c:pt idx="16">
                  <c:v>894</c:v>
                </c:pt>
                <c:pt idx="17">
                  <c:v>1265</c:v>
                </c:pt>
                <c:pt idx="18">
                  <c:v>417</c:v>
                </c:pt>
                <c:pt idx="19">
                  <c:v>7295</c:v>
                </c:pt>
                <c:pt idx="20">
                  <c:v>1159</c:v>
                </c:pt>
                <c:pt idx="21">
                  <c:v>492</c:v>
                </c:pt>
                <c:pt idx="22">
                  <c:v>1015</c:v>
                </c:pt>
                <c:pt idx="23">
                  <c:v>1716</c:v>
                </c:pt>
                <c:pt idx="24">
                  <c:v>1005</c:v>
                </c:pt>
                <c:pt idx="25">
                  <c:v>373</c:v>
                </c:pt>
                <c:pt idx="26">
                  <c:v>432</c:v>
                </c:pt>
                <c:pt idx="27">
                  <c:v>393</c:v>
                </c:pt>
              </c:numCache>
            </c:numRef>
          </c:val>
          <c:smooth val="0"/>
          <c:extLst>
            <c:ext xmlns:c16="http://schemas.microsoft.com/office/drawing/2014/chart" uri="{C3380CC4-5D6E-409C-BE32-E72D297353CC}">
              <c16:uniqueId val="{00000001-D775-4E73-BBD8-E731535D9279}"/>
            </c:ext>
          </c:extLst>
        </c:ser>
        <c:dLbls>
          <c:showLegendKey val="0"/>
          <c:showVal val="0"/>
          <c:showCatName val="0"/>
          <c:showSerName val="0"/>
          <c:showPercent val="0"/>
          <c:showBubbleSize val="0"/>
        </c:dLbls>
        <c:marker val="1"/>
        <c:smooth val="0"/>
        <c:axId val="928858536"/>
        <c:axId val="928859616"/>
      </c:lineChart>
      <c:catAx>
        <c:axId val="92892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28927656"/>
        <c:crosses val="autoZero"/>
        <c:auto val="1"/>
        <c:lblAlgn val="ctr"/>
        <c:lblOffset val="100"/>
        <c:noMultiLvlLbl val="0"/>
      </c:catAx>
      <c:valAx>
        <c:axId val="928927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928927296"/>
        <c:crosses val="autoZero"/>
        <c:crossBetween val="between"/>
      </c:valAx>
      <c:valAx>
        <c:axId val="928859616"/>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928858536"/>
        <c:crosses val="max"/>
        <c:crossBetween val="between"/>
      </c:valAx>
      <c:catAx>
        <c:axId val="928858536"/>
        <c:scaling>
          <c:orientation val="minMax"/>
        </c:scaling>
        <c:delete val="1"/>
        <c:axPos val="b"/>
        <c:numFmt formatCode="General" sourceLinked="1"/>
        <c:majorTickMark val="out"/>
        <c:minorTickMark val="none"/>
        <c:tickLblPos val="nextTo"/>
        <c:crossAx val="9288596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628648</xdr:colOff>
      <xdr:row>15</xdr:row>
      <xdr:rowOff>114299</xdr:rowOff>
    </xdr:from>
    <xdr:to>
      <xdr:col>21</xdr:col>
      <xdr:colOff>266699</xdr:colOff>
      <xdr:row>34</xdr:row>
      <xdr:rowOff>152400</xdr:rowOff>
    </xdr:to>
    <xdr:graphicFrame macro="">
      <xdr:nvGraphicFramePr>
        <xdr:cNvPr id="2" name="Chart 1">
          <a:extLst>
            <a:ext uri="{FF2B5EF4-FFF2-40B4-BE49-F238E27FC236}">
              <a16:creationId xmlns:a16="http://schemas.microsoft.com/office/drawing/2014/main" id="{B67849CF-0E76-40FA-6BCE-D82FC6B4C8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hu-Mai Ho-Kim" refreshedDate="46056.437403009259" createdVersion="8" refreshedVersion="8" minRefreshableVersion="3" recordCount="1265" xr:uid="{B30F78B5-F462-4ED1-907B-DA9CE1DE6549}">
  <cacheSource type="worksheet">
    <worksheetSource ref="A1:AD1562" sheet="MN Business Expansions_Tableau"/>
  </cacheSource>
  <cacheFields count="30">
    <cacheField name="Quarter" numFmtId="0">
      <sharedItems containsBlank="1" count="33">
        <s v="2018-Q1"/>
        <s v="2018-Q2"/>
        <s v="2018-Q3"/>
        <s v="2018-Q4"/>
        <s v="2019-Q1"/>
        <s v="2019-Q2"/>
        <s v="2019-Q3"/>
        <s v="2019-Q4"/>
        <s v="2020-Q1"/>
        <s v="2020-Q2"/>
        <s v="2020-Q3"/>
        <s v="2020-Q4"/>
        <s v="2021-Q1"/>
        <s v="2021-Q2"/>
        <s v="2021-Q3"/>
        <s v="2021-Q4"/>
        <s v="2022-Q1"/>
        <s v="2022-Q3"/>
        <s v="2022-Q2"/>
        <s v="2022-Q4"/>
        <s v="2023-Q1"/>
        <s v="2023-Q2"/>
        <s v="2023-Q3"/>
        <s v="2023-Q4"/>
        <s v="2024-Q1"/>
        <s v="2024-Q2"/>
        <s v="2024-Q3"/>
        <s v="2024-Q4"/>
        <s v="2025-Q1"/>
        <s v="2025-Q2"/>
        <s v="2025-Q3"/>
        <s v="2025-Q4"/>
        <m/>
      </sharedItems>
    </cacheField>
    <cacheField name="Date of Announcement" numFmtId="14">
      <sharedItems containsNonDate="0" containsDate="1" containsString="0" containsBlank="1" minDate="2018-01-02T00:00:00" maxDate="2026-01-01T00:00:00"/>
    </cacheField>
    <cacheField name="Account Name" numFmtId="0">
      <sharedItems containsBlank="1" count="1005">
        <s v="Carris Health"/>
        <s v="Lift Bridge Brewing Company"/>
        <s v="Nypro"/>
        <s v="ModernWell"/>
        <s v="FedEx"/>
        <s v="SPS Commerce"/>
        <s v="IPS Cranes"/>
        <s v="Smart Care Equipment Solutions"/>
        <s v="Sportsdigita"/>
        <s v="Kerry Bio-Science"/>
        <s v="Midwest DryCast"/>
        <s v="Heliene"/>
        <s v="Upsie"/>
        <s v="Safco Products Company"/>
        <s v="University Enterprise Laboratories"/>
        <s v="Accenture Limited"/>
        <s v="Caisson Interventional"/>
        <s v="Protolabs"/>
        <s v="Jarraff Industries Inc"/>
        <s v="Abbott Northwestern Hospital"/>
        <s v="Norway House"/>
        <s v="Minnesota Industrial Battery"/>
        <s v="Medical Equipment Solutions"/>
        <s v="Glen Nelson Center"/>
        <s v="Sezzle"/>
        <s v="Modern Automotive Performance"/>
        <s v="North Star Sheets"/>
        <s v="Cantilever Bridge Distillery"/>
        <s v="Grand View Lodge Resort &amp; Spa"/>
        <s v="Stoneridge Software"/>
        <s v="Target Corp"/>
        <s v="Novel Coworking"/>
        <s v="Farm to Fork"/>
        <s v="Ability Network"/>
        <s v="IntriCon Corp"/>
        <s v="Delta Dental of Minnesota"/>
        <s v="Uponor"/>
        <s v="BKBM Engineers Inc"/>
        <s v="GearJunkie Media"/>
        <s v="Sonex Health"/>
        <s v="The Fish Guys"/>
        <s v="Hansen Reynolds"/>
        <s v="Icertis"/>
        <s v="Vyriad"/>
        <s v="Formacoat"/>
        <s v="Turck Inc"/>
        <s v="Warners' Stellian"/>
        <s v="ILLUME Holding"/>
        <s v="AgVend"/>
        <s v="Amplifon USA"/>
        <s v="Johnson Outdoors"/>
        <s v="Mortarr LLC"/>
        <s v="Bold Orange"/>
        <s v="Cargill Kitchen Solutions"/>
        <s v="Vickerman"/>
        <s v="Yeadon Fabric Domes LLC"/>
        <s v="New Flyer of America"/>
        <s v="Maple Island Inc"/>
        <s v="Preston Kelly"/>
        <s v="Bellisio Foods Inc"/>
        <s v="Amazon"/>
        <s v="Logic PD Inc"/>
        <s v="Lyngblomsten Health Care Fac"/>
        <s v="La Dona Cerveceria"/>
        <s v="University of MN Medical Center - Fairview"/>
        <s v="10000 Drops Craft Distillers"/>
        <s v="IRD Glass"/>
        <s v="Loon Liquors Distillery"/>
        <s v="Daikin Applied"/>
        <s v="SteinAir Inc"/>
        <s v="Andersen Corp"/>
        <s v="Doosan Bobcat"/>
        <s v="Northland Concrete &amp; Masonry"/>
        <s v="Essentia Health"/>
        <s v="Fastenal Co"/>
        <s v="Lake Superior Brewing"/>
        <s v="Regions Hospital"/>
        <s v="Structural"/>
        <s v="Sopheon"/>
        <s v="Park Nicollet Clinic"/>
        <s v="Buddy's Kitchen Inc"/>
        <s v="Crown Iron Works"/>
        <s v="Colder Products Co"/>
        <s v="Clyde Machines Inc"/>
        <s v="Spok"/>
        <s v="Bondhus Corp"/>
        <s v="GEOTEK"/>
        <s v="Reliant Systems Inc"/>
        <s v="Harman Center for Child &amp; Family Wellbeing"/>
        <s v="Proozy"/>
        <s v="Get Bizzy"/>
        <s v="Sun Country Airlines"/>
        <s v="Relievant Medsystems"/>
        <s v="REM5"/>
        <s v="Premium Iowa Pork"/>
        <s v="Hutchinson Community Hospital"/>
        <s v="LJP Enterprises Inc"/>
        <s v="Moss &amp; Barnett"/>
        <s v="Topgolf"/>
        <s v="Inspectorio"/>
        <s v="North Orbit Acoustic Laboratories"/>
        <s v="Sons of Norway"/>
        <s v="Superior Plating Inc"/>
        <s v="Thrivent Financial"/>
        <s v="Yamamoto Inc"/>
        <s v="Dem-Con Companies LLC"/>
        <s v="Lola Red Public Relations"/>
        <s v="Miromatrix Medical Inc"/>
        <s v="Intertek"/>
        <s v="D&amp;K Powder Coating"/>
        <s v="Graco"/>
        <s v="Ascentis"/>
        <s v="GlobalTranz"/>
        <s v="Minnesota Diversified Industries"/>
        <s v="Lakeview Industries"/>
        <s v="Circles"/>
        <s v="Donaldson Co"/>
        <s v="Immunochemistry Technologies LLC"/>
        <s v="M&amp;M Precision Machining"/>
        <s v="TLC Electronics"/>
        <s v="Atomic Data LLC"/>
        <s v="Vireo Health"/>
        <s v="ClickSWITCH"/>
        <s v="WhirlyBall"/>
        <s v="Takeda Pharmaceuticals"/>
        <s v="Riverview LLP"/>
        <s v="Sansoro Health"/>
        <s v="WeWork"/>
        <s v="Accredited Investors"/>
        <s v="Agosto Inc"/>
        <s v="AIM Consulting"/>
        <s v="Aquarius Home Services"/>
        <s v="Carrousel Travel"/>
        <s v="Creative Homes"/>
        <s v="Ergodyne (Tenacious Holdings)"/>
        <s v="Excelsior Group LLC"/>
        <s v="Flipgrid"/>
        <s v="Gardner Builders"/>
        <s v="Gillette Children's Specialty Healthcare"/>
        <s v="Intertech Training"/>
        <s v="LeaderOne Financial"/>
        <s v="Loffler Companies"/>
        <s v="Marco Inc"/>
        <s v="Mayo Clinic Health System"/>
        <s v="Meritex Enterprises"/>
        <s v="Nina Hale"/>
        <s v="NovuHealth"/>
        <s v="Persolvent"/>
        <s v="phData"/>
        <s v="Ramboll"/>
        <s v="Slalom Consulting"/>
        <s v="SportsEngine"/>
        <s v="Verus Corp"/>
        <s v="Napco International LLC"/>
        <s v="NextGEN RF Design"/>
        <s v="Alorica"/>
        <s v="Boston Consulting Group"/>
        <s v="Recombinetics Inc"/>
        <s v="Smude Enterprises LLC"/>
        <s v="Urotronic"/>
        <s v="Euram"/>
        <s v="Community Performing Arts Center"/>
        <s v="Hydra-Flex"/>
        <s v="Skywater Technology Foundry"/>
        <s v="OmniTier"/>
        <s v="Planned Parenthood"/>
        <s v="Vomela"/>
        <s v="Carlson Companies"/>
        <s v="Associated Milk Producers Inc"/>
        <s v="OpenDoor"/>
        <s v="Minnetronix Medical Inc"/>
        <s v="4C Medical Technologies"/>
        <s v="Lamppa Manufacturing Inc"/>
        <s v="Milk Specialties Global"/>
        <s v="Life Time Work"/>
        <s v="Bank of America"/>
        <s v="Blue Star Power Systems"/>
        <s v="Tech Dump"/>
        <s v="JP Ecommerce"/>
        <s v="ProVation Medical"/>
        <s v="3M"/>
        <s v="Perforce Software"/>
        <s v="Switchback Medical LLC"/>
        <s v="Cardialen"/>
        <s v="Federated Insurance Cos"/>
        <s v="Adventure Creative Group"/>
        <s v="Merchant &amp; Gould"/>
        <s v="King Solutions Inc"/>
        <s v="Northern Lights Manufacturing"/>
        <s v="Pan-O-Gold Baking Company"/>
        <s v="Up North Plastics Inc"/>
        <s v="Mall of America Water Park"/>
        <s v="Midwest Aircraft Refinishing"/>
        <s v="Kraus-Anderson"/>
        <s v="Bix Produce Co"/>
        <s v="Coloplast US"/>
        <s v="Stern Companies"/>
        <s v="Innovative Office Solutions"/>
        <s v="Life Time Fitness"/>
        <s v="Life Time Inc"/>
        <s v="Valspar Corp"/>
        <s v="EA Sween Company"/>
        <s v="Senneca Holdings"/>
        <s v="Moline Machinery LLC"/>
        <s v="Cantel Medical"/>
        <s v="Greenheck Fan"/>
        <s v="Long Haul Trucking"/>
        <s v="St Paul Harley-Davidson"/>
        <s v="Alula"/>
        <s v="New Plastics Plus"/>
        <s v="Pinnacle Climate Technologies/Schaefer"/>
        <s v="Windings Inc"/>
        <s v="CentraCare Health"/>
        <s v="St Luke's Hospital"/>
        <s v="Dispatch"/>
        <s v="Avisen Legal"/>
        <s v="Chartwell Financial"/>
        <s v="ProcessBolt"/>
        <s v="River Bend Business Products"/>
        <s v="Podiumwear Custom Sports Apparel"/>
        <s v="Northstar Aluminum"/>
        <s v="Francis Medical"/>
        <s v="Seaquest Aquarium Roseville"/>
        <s v="SageGlass"/>
        <s v="NoSweat"/>
        <s v="Sea Life Minnesota Aquarium"/>
        <s v="Canteen Vending Services"/>
        <s v="LB Carlson"/>
        <s v="Reviva"/>
        <s v="Revol Greens"/>
        <s v="The Stable"/>
        <s v="Spencer Fane"/>
        <s v="Magellan Midstream Partners"/>
        <s v="Qumulo"/>
        <s v="Alliance Machine Inc"/>
        <s v="MRA Associates"/>
        <s v="Element Indoor Golf Club"/>
        <s v="CommonGrounds Workspace"/>
        <s v="Apruve"/>
        <s v="MGK Co (aka Mclaughlin Gormley King Company)"/>
        <s v="Boom Island Brewery"/>
        <s v="ARYZTA (dba Fresh Start Bakeries)"/>
        <s v="The Riveter"/>
        <s v="Pepperl+Fuchs Comtrol"/>
        <s v="MIVI Neuroscience"/>
        <s v="AHEAD"/>
        <s v="Branch Messenger"/>
        <s v="Chuck &amp; Don's"/>
        <s v="Rachel Contracting"/>
        <s v="3M Co"/>
        <s v="Trimble (aka PeopleNet Communications)"/>
        <s v="HOYA Vision Care North America (dba Vision Ease)"/>
        <s v="QA1 Precision Products Inc"/>
        <s v="Lyft"/>
        <s v="Tennant Co"/>
        <s v="Fresha"/>
        <s v="JAMF Software"/>
        <s v="Morey's Seafood Intl"/>
        <s v="Die Technology"/>
        <s v="Nanotech Precision"/>
        <s v="The Landline Company"/>
        <s v="Alexandria Industries"/>
        <s v="Gensler"/>
        <s v="Lake View Memorial Hospital"/>
        <s v="Airgas"/>
        <s v="Calabrio"/>
        <s v="Enviroserve"/>
        <s v="Diakin Applied Americas"/>
        <s v="Enservio"/>
        <s v="Kato Engineering"/>
        <s v="BlackLight Adventures"/>
        <s v="Cold Spring Brewing Co"/>
        <s v="AMD Distribution"/>
        <s v="Kappers Fabricating Inc"/>
        <s v="HistoSonics"/>
        <s v="Northrop Grumman Innovation Systems"/>
        <s v="Steinwall Inc"/>
        <s v="Rally Health"/>
        <s v="RMB Environmental Laboratories Inc"/>
        <s v="Taft Stettinius &amp; Hollister (formerly Briggs &amp; Morgan PA)"/>
        <s v="DHL Express"/>
        <s v="Taoglas"/>
        <s v="Absolute Air"/>
        <s v="At Last Gourmet Foods Inc"/>
        <s v="Blattner Energy"/>
        <s v="Bright Health"/>
        <s v="Twin Pines Metrology"/>
        <s v="Metro Self Storage"/>
        <s v="Granicus (GovDelivery)"/>
        <s v="Zierke Built Manufacturing Inc"/>
        <s v="Media Minefield"/>
        <s v="Hennepin Healthcare System"/>
        <s v="Sappi Fine Paper North America"/>
        <s v="Sierra Pacific Mortgage"/>
        <s v="Certified Power"/>
        <s v="Granite Digital Realty"/>
        <s v="DailyPay"/>
        <s v="All Energy Solar Inc"/>
        <s v="Upsher-Smith Laboratories Inc"/>
        <s v="MinMor Industries"/>
        <s v="Reprocessed Plastics Inc"/>
        <s v="Lockton Companies"/>
        <s v="VentureMed Group"/>
        <s v="Ziegler Caterpillar"/>
        <s v="Control Concepts"/>
        <s v="Renewal by Andersen"/>
        <s v="Heraeus Medical Components"/>
        <s v="Mayo Manufacturing"/>
        <s v="Optum"/>
        <s v="Saul Ewing Arnstein &amp; Lehr"/>
        <s v="Midwest Ear Nose &amp; Throat"/>
        <s v="Shriners Healthcare for Children"/>
        <s v="Arctic Wolf Networks"/>
        <s v="Wipro Technologies"/>
        <s v="Toppan Merrill"/>
        <s v="Reprise Biomedical"/>
        <s v="Soona"/>
        <s v="rms Company"/>
        <s v="Beck's Hybrids"/>
        <s v="Costco"/>
        <s v="IA Interior Architects"/>
        <s v="LazyDays RV"/>
        <s v="Puris Proteins"/>
        <s v="RSM US LLP"/>
        <s v="VStar Entertainment Group"/>
        <s v="Green Bay Packaging"/>
        <s v="Boston Scientific"/>
        <s v="Nahan Printing Inc"/>
        <s v="Alarm com"/>
        <s v="Foodsby"/>
        <s v="FRSecure LLC"/>
        <s v="Marco Technologies"/>
        <s v="PULTE HOME CORPORATION"/>
        <s v="RBC Wealth Management"/>
        <s v="Revel Health"/>
        <s v="RHI Consulting Division of Robert Half"/>
        <s v="TPI Hospitality"/>
        <s v="West Monroe Partners"/>
        <s v="York Solutions"/>
        <s v="Barrett Petfood Innovations"/>
        <s v="American Flexible Products Inc"/>
        <s v="Ultra Machining Company"/>
        <s v="CardioMech"/>
        <s v="Distinctive Iron "/>
        <s v="Saluda Medical"/>
        <s v="75F"/>
        <s v="Minimizer"/>
        <s v="Mayo Clinic &amp; Google"/>
        <s v="Cassia Life"/>
        <s v="Volunteers of America"/>
        <s v="US Bancorp"/>
        <s v="Whirltronics Inc"/>
        <s v="CH Robinson Worldwide Inc"/>
        <s v="New Perspective Senior Living"/>
        <s v="Lewis Brisbois Bisgaard Smith LLP"/>
        <s v="WuXi Diagnostics"/>
        <s v="8x8"/>
        <s v="Delta ModTech"/>
        <s v="CHS"/>
        <s v="Infor"/>
        <s v="SeaChange Print Innovations"/>
        <s v="West Monroe Partners (GoKart Labs)"/>
        <s v="Specialty Manufacturing Co"/>
        <s v="Total Expert Inc"/>
        <s v="Bio-Techne"/>
        <s v="Pattison Sand Company"/>
        <s v="Cemstone Concrete"/>
        <s v="Team Industries Inc"/>
        <s v="Maurices"/>
        <s v="Essilor Laboratories of America"/>
        <s v="Microbiologics"/>
        <s v="Philips Healthcare"/>
        <s v="Rise Modular"/>
        <s v="ShopSabre"/>
        <s v="Maud Borup"/>
        <s v="St Francis Regional Medical Center"/>
        <s v="Nystrom Inc"/>
        <s v="JBS USA"/>
        <s v="Central McGowan Inc"/>
        <s v="P.A. SpA"/>
        <s v="JUST Inc"/>
        <s v="DDL Inc"/>
        <s v="Cirtec Medical"/>
        <s v="Dominium"/>
        <s v="Pepper Foster Consulting"/>
        <s v="Fairchild Equipment"/>
        <s v="Earl Giles Distillery"/>
        <s v="Broadhead"/>
        <s v="Douglas Machine"/>
        <s v="Tri-County Health Care"/>
        <s v="The Coven"/>
        <s v="Carvana"/>
        <s v="Sibley Parkway Winery"/>
        <s v="Alliant Castings"/>
        <s v="Minnetronix Medical"/>
        <s v="New Spaces"/>
        <s v="Shutterly"/>
        <s v="Soyko"/>
        <s v="Cargill"/>
        <s v="Millerbernd Manufacturing"/>
        <s v="AbelConn"/>
        <s v="Life Fitness - Cybex International"/>
        <s v="Dairyland Power"/>
        <s v="All Flex, Inc."/>
        <s v="DSM-Firmenich"/>
        <s v="Allina Health (Abbott Northwestern Hospital)"/>
        <s v="Cherne Industries"/>
        <s v="Polar Semiconductor"/>
        <s v="Bosch"/>
        <s v="White Dog Labs"/>
        <s v="Wolters Kluwer"/>
        <s v="Lamex Foods"/>
        <s v="Delkor"/>
        <s v="Trystar"/>
        <s v="Seagate Technology"/>
        <s v="Ceridian"/>
        <s v="Fed-Ex"/>
        <s v="Minnesota Oncology"/>
        <s v="North Memorial Health"/>
        <s v="WestRock"/>
        <s v="Maddy &amp; Maize"/>
        <s v="Chandler Industries"/>
        <s v="Digital River"/>
        <s v="Total Expert"/>
        <s v="Virgin Pulse"/>
        <s v="Global Glove &amp; Safety Manufacturing"/>
        <s v="BCS Automotive Interface Solutions"/>
        <s v="Kurita"/>
        <s v="Legend Cabinetry, LLC"/>
        <s v="TreHus"/>
        <s v="Branch"/>
        <s v="Zipnosis"/>
        <s v="Kindeva Drug Delivery (formerly 3M drug delivery unit)"/>
        <s v="Cirrus Aircraft"/>
        <s v="Prairie Air"/>
        <s v="TSI Inc"/>
        <s v="Pace Dairy (Kroger Co)"/>
        <s v="Stitch Fix"/>
        <s v="Minnesota Oncology - Plastic Surgery Consultants"/>
        <s v="Central Logic"/>
        <s v="Radius Living Rx"/>
        <s v="Swift Pork  (JBS)"/>
        <s v="Hunt Electric Corporation"/>
        <s v="Wipfli"/>
        <s v="Xcel"/>
        <s v="Buhler"/>
        <s v="CNA Insurance"/>
        <s v="Greystone Construction"/>
        <s v="IDeaS"/>
        <s v="Yukon Partners"/>
        <s v="Jennie-O Turkey Store"/>
        <s v="Mercy Healthcare Center"/>
        <s v="Royal Pet"/>
        <s v="Sylva Corporation"/>
        <s v="Metro Storage"/>
        <s v="Best Buy"/>
        <s v="Feldmann Imports Mercedes-Benz"/>
        <s v="Oddson Underground Inc"/>
        <s v="Avtex"/>
        <s v="Glamos Wire"/>
        <s v="Eastman Kodak"/>
        <s v="TechMate"/>
        <s v="Retail Tech"/>
        <s v="Nerdery"/>
        <s v="Ameriprise Financial"/>
        <s v="US Army Corps of Engineers"/>
        <s v="Woodchuck USA"/>
        <s v="Bind Benefits"/>
        <s v="DI Labs"/>
        <s v="Thermo-King"/>
        <s v="Bridgewater Bank"/>
        <s v="Ear Nose &amp; Throat Specialty Care"/>
        <s v="Surgical Care Affiliates"/>
        <s v="Cargill Meat Solutions Corporation"/>
        <s v="Deluxe"/>
        <s v="Ecolab Production LLC"/>
        <s v="Vireo Health of Minnesota (Green Goods) - formerly Minnesota Medical Solutions"/>
        <s v="Trelleborg Healthcare &amp; Medical (Formerly Sil-Pro)"/>
        <s v="Fulcrum (Fulcrumpro Inc)"/>
        <s v="JD Woodcraft"/>
        <s v="Siteimprove"/>
        <s v="Shipt (Target)"/>
        <s v="Jet Linx"/>
        <s v="AirCorps Aviation"/>
        <s v="Menards"/>
        <s v="MJ Holdings"/>
        <s v="MTU Power Generation Systems (MTU Onsite Energy)"/>
        <s v="Pilgrim's Pride"/>
        <s v="Infinity Biologix (IBX)"/>
        <s v="Lake of the Woods Distilling Company"/>
        <s v="USI Insurance Services"/>
        <s v="Superior Decks &amp; Railings"/>
        <s v="Erik's Bike Shop"/>
        <s v="SunOpta"/>
        <s v="Midwest Co-pack"/>
        <s v="GBBN"/>
        <s v="DataBank"/>
        <s v="Regenhu"/>
        <s v="Vortex Cold Storage LLC"/>
        <s v="North Central Utility"/>
        <s v="Aurora Pharmaceutical"/>
        <s v="TBEI"/>
        <s v="Omcare"/>
        <s v="Polytek Surface Coatings"/>
        <s v="Recycle Minnesota"/>
        <s v="Peace Coffee"/>
        <s v="Magenic"/>
        <s v="Bemidji Steel Company Inc"/>
        <s v="Code42"/>
        <s v="TUV SUD America Inc"/>
        <s v="Louis Industries Inc"/>
        <s v="UroDev"/>
        <s v="IndusTrack"/>
        <s v="Medica"/>
        <s v="Sportech LLC"/>
        <s v="Netspi"/>
        <s v="Google"/>
        <s v="MDI"/>
        <s v="Nordic Ware"/>
        <s v="Target"/>
        <s v="Nu-Tek BioSciences"/>
        <s v="Northern Pride, Inc."/>
        <s v="All Integrated Solutions"/>
        <s v="Advanced Volumetric Alliance, LLC"/>
        <s v="Kalera"/>
        <s v="Andersen Windows and Doors"/>
        <s v="Marvin Windows"/>
        <s v="Pella"/>
        <s v="Ernst &amp; Young"/>
        <s v="JunoPacific (parent Cretex Cos, dba JunoPacific)"/>
        <s v="Alter Logistics"/>
        <s v="Legend Cabinetry"/>
        <s v="Sensiva Health"/>
        <s v="SICK"/>
        <s v="Horizontal Digital"/>
        <s v="Fidelity Investments"/>
        <s v="SiteKick"/>
        <s v="Milk Moovement"/>
        <s v="Digital Mass"/>
        <s v="Energy Management Collaborative (EMC)"/>
        <s v="Lifesprk"/>
        <s v="Northstar Canoes"/>
        <s v="Alarm Products Distributors"/>
        <s v="Silk Road Medical"/>
        <s v="Entegris"/>
        <s v="HomeSpotter"/>
        <s v="Ovative"/>
        <s v="Vector Windows Inc"/>
        <s v="North Freeze Dry LLC"/>
        <s v="Gopher Resource"/>
        <s v="Lucy (Equals 3)"/>
        <s v="Old Dominion Freight Line (ODFL)"/>
        <s v="Nextek"/>
        <s v="Collagen Solutions US LLC"/>
        <s v="Northland Cheese (aka Performance Food Group) Company"/>
        <s v="ABV Technology"/>
        <s v="Greentech Manufacturing"/>
        <s v="Miromatrix Medical"/>
        <s v="Quality One Woodwork"/>
        <s v="Radisson Hotel Group"/>
        <s v="BetterYou"/>
        <s v="Adhue Graphic Resources"/>
        <s v="Parallax"/>
        <s v="Bushel Boy Farms"/>
        <s v="FLOE International"/>
        <s v="Associated Wholesale Grocers"/>
        <s v="Huntington Bancshares (formerly TCF)"/>
        <s v="Fed Ex"/>
        <s v="Merchology"/>
        <s v="Delta Air Lines"/>
        <s v="Niron Magnetics"/>
        <s v="Qorvo Biotechnologies LLC"/>
        <s v="Weframe"/>
        <s v="Phillips &amp; Temro"/>
        <s v="Skywater Technology"/>
        <s v="Suma Brands"/>
        <s v="The Outdoor Greatroom Company LLC"/>
        <s v="New Flyer"/>
        <s v="Mayo Clinic"/>
        <s v="Milk Specialties Company"/>
        <s v="Rapid Robotics"/>
        <s v="Chasing Our Tails"/>
        <s v="Industrial Fabrics Corporation (dba Clear Edge Filtration)"/>
        <s v="Aggressive Hydraulics"/>
        <s v="Birds Eye"/>
        <s v="Data Metalcraft Inc"/>
        <s v="Minnesota Rubber &amp; Plastics"/>
        <s v="ELO Digital"/>
        <s v="Chemstar Products Company"/>
        <s v="Peli BioThermal (formerly Pelican BioThermal)"/>
        <s v="Ready Credit"/>
        <s v="Chromatic 3D"/>
        <s v="Premier Marine"/>
        <s v="Duos"/>
        <s v="Central Farm Services"/>
        <s v="Home Depot"/>
        <s v="Eyesafe"/>
        <s v="Spectro Alloys"/>
        <s v="Oculogica"/>
        <s v="Coburn Manufacturing"/>
        <s v="Summit Mortgage"/>
        <s v="Bell Bank"/>
        <s v="MentorMate"/>
        <s v="Quantinuum (Honeywell spinoff)"/>
        <s v="Greenfield Global"/>
        <s v="Split Rock Studios"/>
        <s v="Bizzy Coffee"/>
        <s v="Justifi"/>
        <s v=" Southern Minnesota Beet Sugar Cooperative"/>
        <s v="EideCom"/>
        <s v="Thermo King"/>
        <s v="Magnum Trucking"/>
        <s v="Omnetics Connector Corporation"/>
        <s v="CKC Foods"/>
        <s v="Climate by Design International"/>
        <s v="Soldier Trucking"/>
        <s v="CathX Medical Inc"/>
        <s v="Banner Engineering"/>
        <s v="King Technology Inc"/>
        <s v="Impact"/>
        <s v="Jonny Pops"/>
        <s v="Yamamoto"/>
        <s v="Yardstik"/>
        <s v="47-93 North Inc"/>
        <s v="KMDA"/>
        <s v="Northstar Pellets"/>
        <s v="Imprint Engine"/>
        <s v="Vista Outdoor (Federal Ammunition)"/>
        <s v="Amerilab Technologies"/>
        <s v="Cirrus Design Corp"/>
        <s v="Washburn Computer Group (WashburnPOS)"/>
        <s v="Lifetouch"/>
        <s v="Milk Specialities Global"/>
        <s v="Apple Auto Group"/>
        <s v="Faribault Mills (formerly Faribault Woolen Mills)"/>
        <s v="Blu Dot"/>
        <s v="Nice Healthcare"/>
        <s v="Omnia Fishing"/>
        <s v="Colder Products"/>
        <s v="DEE Manufacturing"/>
        <s v="Altoz"/>
        <s v="Best Buy Stores LLP"/>
        <s v="Alliant Engineering"/>
        <s v="Creative Memories"/>
        <s v="KAMP Automation"/>
        <s v="Polaris"/>
        <s v="Gravie"/>
        <s v="Players Health"/>
        <s v="MnStar"/>
        <s v="Jenniges Meat Processing"/>
        <s v="Lineage Logistics"/>
        <s v="Andersen Windows"/>
        <s v="ASV Holdings"/>
        <s v="Detroit Diesel Remanufacturing"/>
        <s v="Food Service Specialties"/>
        <s v="Buro Happold"/>
        <s v="Marex"/>
        <s v="Taft Stettinius &amp; Hollister"/>
        <s v="Reynolds Manufacturing"/>
        <s v="Cargill Animal Nutrition"/>
        <s v="Lakeshirts"/>
        <s v="ADS Group (Copycats Media)"/>
        <s v="Delta Air Lines (Delta Tech Hub)"/>
        <s v="Tuffy's/NutriSource (KLN)"/>
        <s v="Allina Health"/>
        <s v="NAMSA (formerly American Preclinical Services)"/>
        <s v="Russ Davis Wholesale"/>
        <s v="Myplas"/>
        <s v="Canteen One"/>
        <s v="Boulay"/>
        <s v="Flint Hills"/>
        <s v="Mitsubishi HC Capital"/>
        <s v="Greenberg Traurig"/>
        <s v="MagIron"/>
        <s v="Eureka Recycling"/>
        <s v="Puustelli"/>
        <s v="Tata Consultancy Services"/>
        <s v="WareSpace"/>
        <s v="Wiha Tools (aka Willi Hahn Corporation)"/>
        <s v="Anderson Trucking Service"/>
        <s v="The Toro Company"/>
        <s v="Miraclon"/>
        <s v="Indizen Optical Technologies"/>
        <s v="BioMerics LLC"/>
        <s v="Stratasys"/>
        <s v="U.S. Steel"/>
        <s v="Zeus Electric Chassis"/>
        <s v="Integer Holdings Corp (aka Lake Region Medical)"/>
        <s v="Dakota Supply Group"/>
        <s v="Wabash National"/>
        <s v="American Precision Avionics"/>
        <s v="Intek Plastics, Inc."/>
        <s v="Onto Innovation"/>
        <s v="Solsten"/>
        <s v="Frana Co"/>
        <s v="CloudHQ"/>
        <s v="Arbor Wood"/>
        <s v="MedTrace"/>
        <s v="Walgreen"/>
        <s v="Minkkinen Iron"/>
        <s v="Workbox Holdings"/>
        <s v="Cast 7"/>
        <s v="Warehouse Storage (GT Express)"/>
        <s v="Motion Ai"/>
        <s v="Doppler Gear"/>
        <s v="Clow Manufacturing"/>
        <s v="Twin Ignition Startup Garage"/>
        <s v="Taco John's"/>
        <s v="Padagis US LLC"/>
        <s v="Nature Energy"/>
        <s v="Winnebago"/>
        <s v="Doran Group"/>
        <s v="Aerospace Fabrication"/>
        <s v="Cambria"/>
        <s v="George Modular Innovation Solutions"/>
        <s v="Axis Communications"/>
        <s v="Piper Sandler"/>
        <s v="Anagram International"/>
        <s v="SFM Mutual Insurance"/>
        <s v="Massman Companies"/>
        <s v="Seer Medical"/>
        <s v="Schoenfelder Renovations "/>
        <s v="Husch Blackwell"/>
        <s v="Blue Cross Blue Shield of Minnesota"/>
        <s v="Honeywell"/>
        <s v="Plymouth Plastics"/>
        <s v="Saltbox Co"/>
        <s v="TSI Plastics"/>
        <s v="Sensata Technologies"/>
        <s v="RJ Schinner"/>
        <s v="Nextern Inc"/>
        <s v="Advisory Aerospace"/>
        <s v="Nucleus Labs INC dba Nucleus RadioPharma"/>
        <s v="Vetrotech St-Gobain"/>
        <s v="All Flex Solutions"/>
        <s v="Advanced Interconnect Technologies LLC"/>
        <s v="HATO Lighting"/>
        <s v="Falls Fabricating"/>
        <s v="Graco "/>
        <s v="IWG (Regus)"/>
        <s v="Pivot Strategies"/>
        <s v="Donaldson"/>
        <s v="General Dynamics Mission Systems"/>
        <s v="Ion Corp"/>
        <s v="Gray Tools"/>
        <s v="Savillex"/>
        <s v="Acme Tools"/>
        <s v="Gordini USA Inc"/>
        <s v="SCR Solutions Inc"/>
        <s v="CFMoto"/>
        <s v="Genz-Ryan"/>
        <s v="Cummins"/>
        <s v="Minuteman Press"/>
        <s v="Optiscan Imaging"/>
        <s v="ESSILOR LABORATORIES OF AMERICA INC"/>
        <s v="Emcor Enclosures"/>
        <s v="ForwardEdge ASIC (Lockheed Martin)"/>
        <s v="Action Target Distribution"/>
        <s v="Ascential Technologies (formerly Aspect Automation)"/>
        <s v="Xcel Energy"/>
        <s v="Plunkett's Pest Control"/>
        <s v="Minneapolis Glass Co"/>
        <s v="Northstar Lime, LLC"/>
        <s v="QTS Medical Device Outsourcing"/>
        <s v="F2F Inc"/>
        <s v="Elemet Group Inc"/>
        <s v="VitaTek Medical (formerly Vita Group)"/>
        <s v="University of Minnesota"/>
        <s v="Niagara Bottling"/>
        <s v="Buhler Group"/>
        <s v="United States Gypsum Company"/>
        <s v="Daikin Applied Americas, Inc - Owatonna"/>
        <s v="Cambrex Corportation"/>
        <s v="Renegade Truck Equipment"/>
        <s v="Natural American Foods Inc dba Sweet Harvest Foods"/>
        <s v="Bongards Creameries"/>
        <s v="Yanmar Compact Equipment North America YCENA"/>
        <s v="Great Northern Ingredients"/>
        <s v="Piedmont Plastics"/>
        <s v="MAS HVAC"/>
        <s v="L&amp;M Fleet Center"/>
        <s v="Cast Corporation"/>
        <s v="Elucent Medical"/>
        <s v="nVent"/>
        <s v="Bemidji Aviation Services"/>
        <s v="Nexstar"/>
        <s v="Kannegiesser ETECH"/>
        <s v="Computype"/>
        <s v="Meta (Facebook parent)"/>
        <s v="Pioneer Industries"/>
        <s v="Solugen"/>
        <s v="Cameron Ashley Building Products"/>
        <s v="Caribou Coffee"/>
        <s v="Upper Lakes Foods Inc"/>
        <s v="M S International (MSI)"/>
        <s v="HWY 35"/>
        <s v="nVent Hoffman Enclosures"/>
        <s v="Rosenbauer"/>
        <s v="Penske"/>
        <s v="SOMIC Packaging, Inc."/>
        <s v="IWG (Spaces)"/>
        <s v="Diversified Drywall Systems"/>
        <s v="Carter Americas"/>
        <s v="Rion Aesthetics"/>
        <s v="Revo Health"/>
        <s v="Sam's Club"/>
        <s v="Aldevron"/>
        <s v="NVE Corporation"/>
        <s v="Chandler Industries Inc"/>
        <s v="North Woods Finishing LLC"/>
        <s v="Timberwolves"/>
        <s v="Modist Brewing"/>
        <s v="Summit Medical"/>
        <s v="Wausau Coated Products"/>
        <s v="O'Shaughnessy Distilling"/>
        <s v="Donaldson Company"/>
        <s v="Saia LTL Freight"/>
        <s v="LightEdge"/>
        <s v="Sofidel America (formerly ST Paper)"/>
        <s v="LISI Medical Remmele Inc - 2024"/>
        <s v="Clifton-Larson-Allen"/>
        <s v="BAE Systems"/>
        <s v="Microsoft Corp"/>
        <s v="J&amp;L Wire Cloth LLC"/>
        <s v="Kato Engineering Inc"/>
        <s v="Pace Analytical Life Sciences LLC"/>
        <s v="R&amp;L Carriers"/>
        <s v="Mille Lacs Corporate Ventures"/>
        <s v="Upsher-Smith Laboratories"/>
        <s v="Japs-Olson"/>
        <s v="Kato Cable"/>
        <s v="Kraft Mechanical"/>
        <s v="Hohenstein"/>
        <s v="Direct Source"/>
        <s v="Yoyo Donuts"/>
        <s v="First Resource Bank"/>
        <s v="Phoenix Preclinical Labs"/>
        <s v="IDC Automatic"/>
        <s v="Post Consumer Brands"/>
        <s v="Schafer Richardson"/>
        <s v="Yarkstik"/>
        <s v="LEI Packaging"/>
        <s v="Cogwear"/>
        <s v="Robert Half Staffing Solutions"/>
        <s v="AGCO"/>
        <s v="Egan Company"/>
        <s v="Baxter Healthcare"/>
        <s v="TKDA"/>
        <s v="RL Cold"/>
        <s v="PaR Systems"/>
        <s v="Nucleus RadioPharma"/>
        <s v="Simpli-Fi Automation Inc."/>
        <s v="Abbott Northwestern Hospital (Allina Health)"/>
        <s v="Shippers Supply"/>
        <s v="Little Sombrero Salsa"/>
        <s v="Apple Valley Foods"/>
        <s v="TurbinePROs"/>
        <s v="Happy Halal (Clean Chickens)"/>
        <s v="Hampton Companies"/>
        <s v="Holmes Murphy"/>
        <s v="Rotation Engineering and Manufacturing Co."/>
        <s v="Advanced Machine Guarding Solutions"/>
        <s v="Two Rivers Enterprises Inc."/>
        <s v="The Social Lights"/>
        <s v="Monumental Sales (div. of St Cloud Industrial Products)"/>
        <s v="Burns &amp; McDonnell"/>
        <s v="ESG Architecture &amp; Design"/>
        <s v="Medical 21"/>
        <s v="United Therapeutics"/>
        <s v="Foster Electric"/>
        <s v="Pella Windows &amp; Doors (Pella Northland)"/>
        <s v="Crystal Cabinet Works"/>
        <s v="Hunt Electric"/>
        <s v="GDB International"/>
        <s v="Lower Sioux Industrial Hemp"/>
        <s v="Mesabi Metallics"/>
        <s v="Flint Hills Resources (with Delta Airlines)"/>
        <s v="Gevo"/>
        <s v="St. Cloud Window LLC"/>
        <s v="Pramana"/>
        <s v="GN Resound"/>
        <s v="Northside Economic Opportunity Network (NEON) "/>
        <s v="Lakes Community Cooperative"/>
        <s v="Solventum"/>
        <s v="Philips Image Guided Therapy"/>
        <s v="Mill City Roasters"/>
        <s v="Machine Solutions"/>
        <s v="States Manufacturing"/>
        <s v="Revolve Labs"/>
        <s v="Gamer Packaging"/>
        <s v="Design Ready Controls"/>
        <s v="DG Fuels"/>
        <s v="Green Acres Milling"/>
        <s v="Heritage Millwork"/>
        <s v="Geringhoff"/>
        <s v="Catallia Mexican Foods"/>
        <s v="BTD"/>
        <s v="Kipsu"/>
        <s v="Archer Datacenters SPE2"/>
        <s v="Tract"/>
        <s v="Cytotheryx"/>
        <s v="Circle K"/>
        <s v="Beckman Coulter"/>
        <s v="Walman Optical"/>
        <s v="Opus"/>
        <s v="Interstate Bearing Systems"/>
        <s v="Premier Stone Design"/>
        <s v="Intricon"/>
        <s v="Danfoss Power Solutions"/>
        <s v="Miller Manufacturing"/>
        <s v="HM Cragg"/>
        <s v="Alter Technology (Tüv Nord Group)"/>
        <s v="Global Distribution"/>
        <s v="Rolls Royce Solutions America"/>
        <s v="Buddy's Kitchen"/>
        <s v="Bibliotheca"/>
        <s v="Metropolitan Transportation Network MTN"/>
        <s v="BioMADE"/>
        <s v="North Wind"/>
        <s v="JonnyPops"/>
        <s v="CelluComp"/>
        <s v="EDCO Products"/>
        <s v="Advanced Exhaust Solutions"/>
        <s v="Tonna Mechanical"/>
        <s v="Veit"/>
        <s v="Dakota Electric Association"/>
        <s v="RDO Equipment"/>
        <s v="Legrand"/>
        <s v="Micro Control Company"/>
        <s v="Fowling Warehouse"/>
        <s v="HealthPartners"/>
        <s v="Arctic Cat"/>
        <s v="Waggle"/>
        <s v="Allina"/>
        <s v="Avonix Imaging"/>
        <s v="Veterinary Pharmaceutical Solutions"/>
        <s v="Ecolab"/>
        <s v="Volk Transfer"/>
        <s v="Daikin"/>
        <s v="Nextera Packaging"/>
        <s v="West Fraser US EWP"/>
        <s v="Hansen &amp; Co Woodworks"/>
        <s v="Mold-Tech"/>
        <s v="Associated Bank"/>
        <s v="Kreofsky Building Supplies"/>
        <s v="So Good So You (So Good Brand)"/>
        <s v="Grover Farm Trucking"/>
        <s v="Louis Industries"/>
        <s v="Stepp Manufacturing"/>
        <s v="Winnebago Manufacturing"/>
        <s v="Lactalis"/>
        <s v="White Cap Supply"/>
        <s v="Barr Engineering"/>
        <s v="Forvis Mazars "/>
        <s v="Leonardo DRS"/>
        <s v="Sno Pac Foods"/>
        <s v="Bora Pharmaceuticals"/>
        <s v="Daedex"/>
        <s v="Trelleborg Medical Solutions"/>
        <s v="Centra"/>
        <s v="First Supply"/>
        <s v="Forklifts of Minnesota"/>
        <s v="General Mills"/>
        <s v="Mortenson"/>
        <s v="Rengel Printing"/>
        <s v="Safety Rail"/>
        <s v="Vanguard Renewables"/>
        <s v="Archer Datacenters"/>
        <s v="Marotta Controls"/>
        <s v="Kemps"/>
        <s v="Green Cross"/>
        <s v="Kohner's Sand and Gravel and Army Corps of Engineers (City of Wabasha)"/>
        <s v="Zero Zone Refrigeration"/>
        <s v="Advanced Volumetric Alliance (AVA)"/>
        <s v="DEM-Con HZI BioEnergy (with Ramsey/Washington Recycling &amp; Energy)"/>
        <s v="All Flex Solutions Bloomington"/>
        <s v="Clow Stamping"/>
        <s v="Stagwell"/>
        <s v="AirCorps Aviation (Fabrication Shop)"/>
        <s v="Evereve"/>
        <s v="Long Cheng"/>
        <s v="OZ Lifting Products"/>
        <s v="Buske Logistics"/>
        <s v="EGA Spectro Alloys"/>
        <s v="Egon Zehnder"/>
        <s v="Precision Optics"/>
        <s v="BioLabs"/>
        <s v="Fit Butters"/>
        <s v="Northwestern Mutual"/>
        <s v="Cossetta"/>
        <s v="PHS West"/>
        <s v="Cirrus (via Hawkline II LLC)"/>
        <s v="GN Group (ReSound)"/>
        <s v="Reema Health"/>
        <s v="Border Foods"/>
        <s v="Daikin Applied Americas"/>
        <s v="Nelson-Rudie"/>
        <s v="Rawlings"/>
        <s v="Winthrop &amp; Weinstine"/>
        <s v="NPL Construction"/>
        <m/>
        <s v="Amazon (Project Tiger)" u="1"/>
        <s v="Donaldson Company Global Headquarters" u="1"/>
        <s v="Advanced Volumetric Alliance (AVA)." u="1"/>
        <s v=" Advanced Volumetric Alliance (AVA)." u="1"/>
      </sharedItems>
    </cacheField>
    <cacheField name="City" numFmtId="0">
      <sharedItems containsBlank="1"/>
    </cacheField>
    <cacheField name="County" numFmtId="0">
      <sharedItems containsBlank="1"/>
    </cacheField>
    <cacheField name="State" numFmtId="0">
      <sharedItems containsBlank="1"/>
    </cacheField>
    <cacheField name="Business News Summary" numFmtId="0">
      <sharedItems containsBlank="1" longText="1"/>
    </cacheField>
    <cacheField name="Facility Type" numFmtId="0">
      <sharedItems containsBlank="1"/>
    </cacheField>
    <cacheField name="Investment" numFmtId="0">
      <sharedItems containsString="0" containsBlank="1" containsNumber="1" minValue="150000" maxValue="5000000000"/>
    </cacheField>
    <cacheField name="New Jobs - Non Construction" numFmtId="0">
      <sharedItems containsBlank="1" containsMixedTypes="1" containsNumber="1" containsInteger="1" minValue="1" maxValue="6000"/>
    </cacheField>
    <cacheField name="Retained Jobs" numFmtId="0">
      <sharedItems containsBlank="1" containsMixedTypes="1" containsNumber="1" containsInteger="1" minValue="9" maxValue="2894" count="37">
        <m/>
        <n v="35"/>
        <n v="50"/>
        <n v="1300"/>
        <n v="90"/>
        <n v="82"/>
        <n v="287"/>
        <n v="29"/>
        <n v="37"/>
        <n v="32"/>
        <n v="15"/>
        <n v="20"/>
        <n v="60"/>
        <n v="48"/>
        <n v="9"/>
        <n v="52"/>
        <n v="34"/>
        <n v="12"/>
        <n v="120"/>
        <n v="315"/>
        <n v="21"/>
        <n v="1100"/>
        <n v="83"/>
        <n v="122"/>
        <n v="127"/>
        <n v="80"/>
        <n v="70"/>
        <n v="63"/>
        <n v="1972"/>
        <n v="282"/>
        <s v="x"/>
        <n v="2894"/>
        <n v="132"/>
        <n v="200"/>
        <n v="140"/>
        <n v="68"/>
        <n v="13"/>
      </sharedItems>
    </cacheField>
    <cacheField name="New Square Feet" numFmtId="0">
      <sharedItems containsString="0" containsBlank="1" containsNumber="1" containsInteger="1" minValue="1000" maxValue="2534200"/>
    </cacheField>
    <cacheField name="Industry" numFmtId="0">
      <sharedItems containsBlank="1" count="118">
        <m/>
        <s v="Food, Beverage"/>
        <s v="Plastics, Rubber"/>
        <s v="Computer Programming"/>
        <s v="Machinery"/>
        <s v="Repair, Maintenance"/>
        <s v="Nonmetallic Minerals"/>
        <s v="Electrical Equipment"/>
        <s v="Furniture"/>
        <s v="Research, Development"/>
        <s v="Business Consulting"/>
        <s v="Medical"/>
        <s v="Other Advocacy, Social Org"/>
        <s v="Paper, Printing"/>
        <s v="Accommodation"/>
        <s v="Architecture, Engineering"/>
        <s v="Other Information Services"/>
        <s v="Legal Services"/>
        <s v="Other Manufacturing"/>
        <s v="Other Services"/>
        <s v="Other"/>
        <s v="Advertising, Public Relations"/>
        <s v="Transportation Equipment"/>
        <s v="Computers, Electronics"/>
        <s v="Wood"/>
        <s v="Software"/>
        <s v="Primary Metals, Smelting"/>
        <s v="Fabricated Metals"/>
        <s v="Chemicals"/>
        <s v="Data Processing, Hosting"/>
        <s v="Travel, Tour Services"/>
        <s v="Other Support Services"/>
        <s v="Personal Services"/>
        <s v="Textile, Apparel"/>
        <s v="Accounting"/>
        <s v="Construction"/>
        <s v="Insurance"/>
        <s v="Motion Picture, Sound Recording"/>
        <s v="Office Administrative Services"/>
        <s v="Beverages"/>
        <s v="Health Care"/>
        <s v="Coworking"/>
        <s v="Printing"/>
        <s v="Grain Processing"/>
        <s v="Iron, Steel"/>
        <s v="Food "/>
        <s v="Apparel"/>
        <s v="Electrical Contractor"/>
        <s v="Renewable"/>
        <s v="Real Estate"/>
        <s v="Finance"/>
        <s v="Military"/>
        <s v="Maintenance, Repair"/>
        <s v="Pharmaceuticals"/>
        <s v="Transportation"/>
        <s v="Waste Management"/>
        <s v="Food"/>
        <s v="Plastics"/>
        <s v="Admin, Support"/>
        <s v="Aluminum"/>
        <s v="Wood Products"/>
        <s v="Agriculture"/>
        <s v="Wood Products, Fabricated Metal"/>
        <s v="Social Assistance"/>
        <s v="Boats"/>
        <s v="Marketing"/>
        <s v="Photography"/>
        <s v="Paper"/>
        <s v="Fintech"/>
        <s v="Furniture (Museum exhibits)"/>
        <s v="Advertising"/>
        <s v="Misc."/>
        <s v="Fabricated Metal (Ammunition)"/>
        <s v="Aircraft"/>
        <s v="Primary Metals"/>
        <s v="Engineering"/>
        <s v="Architecture"/>
        <s v="Food Services"/>
        <s v="Petroleum Products"/>
        <s v="Fabricated Metal (Tools)"/>
        <s v="Miscellaneous"/>
        <s v="Computer, Electronics"/>
        <s v="Fabricated Metal"/>
        <s v="Chemicals (biofuel)"/>
        <s v="Non-metallic Minerals"/>
        <s v="Machinery "/>
        <s v="Glass"/>
        <s v="Business Services"/>
        <s v="Non-Metallic Products"/>
        <s v="Education"/>
        <s v="Waste Management (Recycling) "/>
        <s v="Chemicals (Fuels)"/>
        <s v="Cannabis"/>
        <s v="R&amp;D, medical testing services"/>
        <s v="Employment Services"/>
        <s v="Warehousing, Storage"/>
        <s v="Electronics"/>
        <s v="Nondurable goods NAICS 424"/>
        <s v="Meat"/>
        <s v="Non Metallic Minerals"/>
        <s v="R&amp;D"/>
        <s v="IT Consulting"/>
        <s v="Data Center"/>
        <s v="Packaging Services"/>
        <s v="Wood "/>
        <s v="Nonmetallic Mineral"/>
        <s v="Chemicals (32519)"/>
        <s v="Iron, Steel Products"/>
        <s v="Recreation, Entertainment"/>
        <s v="Optical equipment"/>
        <s v="Food packaging "/>
        <s v="Building Supplies"/>
        <s v="Farm Supplies"/>
        <s v="Metal Products"/>
        <s v="Natural Gas"/>
        <s v="Nonmetallic Mineral Mining"/>
        <s v="Renewable Energy"/>
        <s v="Toys, Sports Equipment"/>
      </sharedItems>
    </cacheField>
    <cacheField name="Sector" numFmtId="0">
      <sharedItems containsBlank="1" count="26">
        <s v="Health Care, Social Assist"/>
        <s v="Manufacturing"/>
        <s v="Real Estate, Leasing"/>
        <s v="Transportation"/>
        <s v="Professional Services"/>
        <s v="Other Services"/>
        <s v="Finance, Insurance"/>
        <s v="Accommodation, Food Services"/>
        <s v="Retail"/>
        <s v="Information"/>
        <s v="Wholesale"/>
        <s v="Construction"/>
        <s v="Arts, Recreation"/>
        <s v="Waste Management"/>
        <s v="Agriculture"/>
        <s v="Admin, Support Services"/>
        <s v="Warehousing"/>
        <s v="Utilities"/>
        <s v="Energy"/>
        <s v="Government"/>
        <s v="Education"/>
        <s v="Transportation, Logistics"/>
        <s v="Real Estate"/>
        <s v="Mining"/>
        <s v="Healthcare"/>
        <m/>
      </sharedItems>
    </cacheField>
    <cacheField name="Source Link" numFmtId="0">
      <sharedItems containsBlank="1" longText="1"/>
    </cacheField>
    <cacheField name="Source" numFmtId="0">
      <sharedItems containsBlank="1"/>
    </cacheField>
    <cacheField name="Street" numFmtId="0">
      <sharedItems containsBlank="1"/>
    </cacheField>
    <cacheField name="Zip/Postal Code" numFmtId="0">
      <sharedItems containsBlank="1" containsMixedTypes="1" containsNumber="1" containsInteger="1" minValue="55003" maxValue="56763"/>
    </cacheField>
    <cacheField name="Latitude" numFmtId="0">
      <sharedItems containsBlank="1" containsMixedTypes="1" containsNumber="1" minValue="43.525185" maxValue="48.933329999999998"/>
    </cacheField>
    <cacheField name="Longitude" numFmtId="0">
      <sharedItems containsBlank="1" containsMixedTypes="1" containsNumber="1" minValue="-97.016401999999999" maxValue="-91.503474999999995"/>
    </cacheField>
    <cacheField name="Type of Investment" numFmtId="0">
      <sharedItems containsBlank="1"/>
    </cacheField>
    <cacheField name="Govt Fin. Asst Names" numFmtId="0">
      <sharedItems containsBlank="1"/>
    </cacheField>
    <cacheField name="Total Grant/Loan Awards" numFmtId="0">
      <sharedItems containsBlank="1" containsMixedTypes="1" containsNumber="1" containsInteger="1" minValue="3000" maxValue="765000000"/>
    </cacheField>
    <cacheField name="Foreign Company Activity" numFmtId="0">
      <sharedItems containsBlank="1"/>
    </cacheField>
    <cacheField name="Parent Account Name" numFmtId="0">
      <sharedItems containsBlank="1"/>
    </cacheField>
    <cacheField name="Parent City" numFmtId="0">
      <sharedItems containsBlank="1"/>
    </cacheField>
    <cacheField name="Parent State/Province" numFmtId="0">
      <sharedItems containsBlank="1"/>
    </cacheField>
    <cacheField name="Parent Country" numFmtId="0">
      <sharedItems containsBlank="1"/>
    </cacheField>
    <cacheField name="Region" numFmtId="0">
      <sharedItems containsBlank="1"/>
    </cacheField>
    <cacheField name="Year" numFmtId="0">
      <sharedItems containsString="0" containsBlank="1" containsNumber="1" containsInteger="1" minValue="2018" maxValue="2025" count="9">
        <n v="2018"/>
        <n v="2019"/>
        <n v="2020"/>
        <n v="2021"/>
        <n v="2022"/>
        <n v="2023"/>
        <n v="2024"/>
        <n v="2025"/>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65">
  <r>
    <x v="0"/>
    <d v="2018-01-02T00:00:00"/>
    <x v="0"/>
    <s v="Willmar"/>
    <s v="Kandiyohi"/>
    <s v="MN"/>
    <s v="St. Cloud-based CentraCare Health, physician group ACMC Health and Rice Memorial Hospital in Willmar, Minn., created the venture, called Carris Health. The organization launched effective Jan. 1, according to a news release, and is a CentraCare subsidiary. The City of Willmar remains owner of Rice Memorial, which will receive a $32 million investment from Carris over the next decade. Carris will employ more than 2,400 people, including Rice Memorial's staff of 1,350."/>
    <s v="Healthcare Facility"/>
    <n v="32000000"/>
    <m/>
    <x v="0"/>
    <m/>
    <x v="0"/>
    <x v="0"/>
    <s v="https://www.bizjournals.com/twincities/news/2018/01/02/deal-that-creates-new-minnesota-health-system.html"/>
    <m/>
    <m/>
    <n v="56201"/>
    <n v="45.147103999999999"/>
    <n v="-94.977722999999997"/>
    <m/>
    <m/>
    <m/>
    <m/>
    <s v="CentraCare Health"/>
    <s v="St Cloud"/>
    <s v="MN"/>
    <m/>
    <s v="Central"/>
    <x v="0"/>
  </r>
  <r>
    <x v="0"/>
    <d v="2018-01-02T00:00:00"/>
    <x v="1"/>
    <s v="Stillwater"/>
    <s v="Washington"/>
    <s v="MN"/>
    <s v="Lift Bridge Brewing Co., the seventh-largest brewer in Minnesota, is planning a $10 million new headquarters facility to accommodate its growth. Current facility is 15,000 SF which would be leased out or sold. The new headquarters would be about 35,000 square feet and include a new taproom, event space, packaging line and fermentation equipment. The expansion will create 23 full-time jobs over the next 10 years,"/>
    <s v="Headquarters; Manufacturing"/>
    <n v="10000000"/>
    <n v="23"/>
    <x v="0"/>
    <n v="20000"/>
    <x v="1"/>
    <x v="1"/>
    <s v="https://www.bizjournals.com/twincities/news/2018/01/02/one-of-minnesotas-largest-breweries-is-planning-to.html"/>
    <m/>
    <s v="1900 Tower Dr W"/>
    <n v="55082"/>
    <n v="45.038933"/>
    <n v="-92.831406999999999"/>
    <m/>
    <m/>
    <m/>
    <m/>
    <m/>
    <m/>
    <m/>
    <m/>
    <s v="Metro"/>
    <x v="0"/>
  </r>
  <r>
    <x v="0"/>
    <d v="2018-01-02T00:00:00"/>
    <x v="2"/>
    <s v="Chaska"/>
    <s v="Carver"/>
    <s v="MN"/>
    <s v="Jabil is a multinational company (based in St. Petersburg, FL) that focuses on technologically advances manufacturing solutions. They are seeking to establish a presence in Chaska of their subsidiary, Nypro. Nypro offers healthcare customers a wide array of design and manufacturing capabilities. Jabil has established a lease agreement at 102 Jonathan Blvd. to expand its global polymer research function creating up to 40 new high earning positions for the first time to Minnesota. MIF $210,000."/>
    <s v="Manufacturing; Research &amp; Dev"/>
    <n v="8350000"/>
    <n v="40"/>
    <x v="0"/>
    <n v="42600"/>
    <x v="2"/>
    <x v="1"/>
    <s v="http://mn-chaska.civicplus.com/AgendaCenter/ViewFile/Item/3001?fileID=8714"/>
    <m/>
    <s v="102 Jonathan Blvd"/>
    <n v="55318"/>
    <n v="44.846569000000002"/>
    <n v="-93.593965999999995"/>
    <s v="Government Financing"/>
    <m/>
    <m/>
    <m/>
    <s v="Jabil"/>
    <s v="St Petersburg"/>
    <s v="FL"/>
    <m/>
    <s v="Metro"/>
    <x v="0"/>
  </r>
  <r>
    <x v="0"/>
    <d v="2018-01-03T00:00:00"/>
    <x v="3"/>
    <s v="Minneapolis"/>
    <s v="Hennepin"/>
    <s v="MN"/>
    <s v="ModernWell, a new co-working space designed specifically for women, opened its doors Tuesday in Minneapolis. Located at 2909 South Wayzata Blvd. The 5,200 square-foot building features private offices, conference rooms, a podcast studio, as well as some spaces not dedicated for work like a massage room, yoga studio, and a wellness and relaxation area."/>
    <s v="Headquarters"/>
    <m/>
    <m/>
    <x v="0"/>
    <n v="5200"/>
    <x v="0"/>
    <x v="2"/>
    <s v="http://www.startribune.com/women-centered-co-working-space-opens-in-minneapolis/467909043/"/>
    <m/>
    <s v="2909 South Wayzata Blvd"/>
    <n v="55405"/>
    <n v="44.969743999999999"/>
    <n v="-93.317828000000006"/>
    <m/>
    <m/>
    <m/>
    <m/>
    <m/>
    <m/>
    <m/>
    <m/>
    <s v="Metro"/>
    <x v="0"/>
  </r>
  <r>
    <x v="0"/>
    <d v="2018-01-04T00:00:00"/>
    <x v="4"/>
    <s v="South St Paul"/>
    <s v="Dakota"/>
    <s v="MN"/>
    <s v="The South St. Paul EDA was awarded $1.26 million in cleanup funds for a 36.5-acre site contaminated with petroleum and other pollutants. Matching cleanup costs will be paid by the developer, Indiana-based Scannell Properties, and other grant sources. Scannell plans to buy the site from Danner Inc., and break ground in the spring. A 270,000-square-foot FedEx distribution center is planned. The project will create 86 jobs, retain 35 jobs."/>
    <s v="Distribution Center"/>
    <m/>
    <n v="86"/>
    <x v="1"/>
    <n v="270000"/>
    <x v="0"/>
    <x v="3"/>
    <s v="https://www.twincities.com/2018/01/04/south-st-paul-lands-1-2-million-cleanup-grant-for-new-fedex-site/; https://content.govdelivery.com/accounts/MNDEED/bulletins/1d0a471"/>
    <m/>
    <s v="843 Hardman Ave"/>
    <n v="55075"/>
    <n v="44.877544999999998"/>
    <n v="-93.023375000000001"/>
    <s v="Government Financing"/>
    <m/>
    <m/>
    <m/>
    <s v="Federal Express Corporation Inc"/>
    <s v="Memphis"/>
    <s v="TN"/>
    <m/>
    <s v="Metro"/>
    <x v="0"/>
  </r>
  <r>
    <x v="0"/>
    <d v="2018-01-04T00:00:00"/>
    <x v="5"/>
    <s v="Minneapolis"/>
    <s v="Hennepin"/>
    <s v="MN"/>
    <s v="SPS Commerce Inc. will expand its presence in downtown's 333 South Seventh Street in a deal that also comes with naming rights for the 33-story tower, to be renamed SPS Tower. The supply chain management software company now occupies seven floors and about 168,000 square feet in the tower. The new lease expands that footprint to nine floors and 216,000 square feet over the next two years. SPS's lease was set to expire in 2020, but has been extended to 2025."/>
    <s v="Headquarters"/>
    <m/>
    <m/>
    <x v="0"/>
    <n v="48000"/>
    <x v="3"/>
    <x v="4"/>
    <s v="https://www.bizjournals.com/twincities/news/2018/01/04/downtown-s-333-south-seventh-will-be-renamed-sps.html"/>
    <m/>
    <s v="333 S Seventh St Ste 1000"/>
    <n v="55402"/>
    <n v="44.974508"/>
    <n v="-93.267529999999994"/>
    <m/>
    <m/>
    <m/>
    <m/>
    <m/>
    <m/>
    <m/>
    <m/>
    <s v="Metro"/>
    <x v="0"/>
  </r>
  <r>
    <x v="0"/>
    <d v="2018-01-09T00:00:00"/>
    <x v="6"/>
    <s v="Duluth"/>
    <s v="St Louis"/>
    <s v="MN"/>
    <s v="&quot;The Duluth EDA has received a $50,000 contamination cleanup and investigation grant on behalf of IPS Cranes in the Waseca Industrial Park to investigate a 24.9 acre site for the company's planned expansion. The plans for expansion include a 30,000-square-foot industrial building and 17 new jobs, according to DEED. The expansion is expected to increase the tax base by $65,770, according to DEED. The company will pay the match for the grant."/>
    <s v="Manufacturing"/>
    <m/>
    <n v="17"/>
    <x v="0"/>
    <n v="30000"/>
    <x v="4"/>
    <x v="1"/>
    <s v="https://www.duluthnewstribune.com/business/4385495-duluth-business-receives-state-funding; also https://content.govdelivery.com/accounts/MNDEED/bulletins/1d0a471"/>
    <m/>
    <s v="530 S 59th Ave W"/>
    <n v="55807"/>
    <n v="46.726455999999999"/>
    <n v="-92.169466"/>
    <s v="Government Financing"/>
    <m/>
    <m/>
    <m/>
    <s v="IPS Cranes"/>
    <s v="St Paul"/>
    <s v="MN"/>
    <m/>
    <s v="North"/>
    <x v="0"/>
  </r>
  <r>
    <x v="0"/>
    <d v="2018-01-11T00:00:00"/>
    <x v="7"/>
    <s v="St Paul"/>
    <s v="Ramsey"/>
    <s v="MN"/>
    <s v="A former subsidiary of Ecolab is planning to invest millions of dollars over the next several years to become a much larger player in the commercial kitchen and appliance maintenance industry. Smart Care Equipment Solutions, a 900-employee business that changed its name from Ecolab Equipment Care this week, was sold by St. Paul-based Ecolab Inc. last October to Boston's Audax Private Equity. In 2016, Equipment Care generated $180 million in revenue and would likely hire more technicians."/>
    <s v="Office (Non-HQ)"/>
    <m/>
    <m/>
    <x v="0"/>
    <m/>
    <x v="5"/>
    <x v="5"/>
    <s v="https://www.bizjournals.com/twincities/news/2018/01/11/former-ecolab-subsidiary-is-moving-out-with-big.html"/>
    <m/>
    <s v="Osborn370 370 Wabasha St N"/>
    <n v="55102"/>
    <n v="44.932929000000001"/>
    <n v="-93.118967999999995"/>
    <m/>
    <m/>
    <m/>
    <m/>
    <m/>
    <m/>
    <m/>
    <m/>
    <s v="Metro"/>
    <x v="0"/>
  </r>
  <r>
    <x v="0"/>
    <d v="2018-01-11T00:00:00"/>
    <x v="8"/>
    <s v="Minneapolis"/>
    <s v="Hennepin"/>
    <s v="MN"/>
    <s v="&quot;Tech company Sportsdigita will ramp up hiring after closing on a round of funding led by Peak6 Sports, a Chicago-based venture capital firm. Sportsdigita has about 26 employees and Lawton expects that number to grow to about 40 by the end of the year. Minneapolis-based Sportsdigita makes Digideck, a software application that sports teams use to create and share sales pitches with prospective digital sponsors."/>
    <s v="Headquarters"/>
    <m/>
    <n v="14"/>
    <x v="0"/>
    <m/>
    <x v="3"/>
    <x v="4"/>
    <s v="https://www.bizjournals.com/twincities/news/2018/01/18/spots-tech-startup-sportsdigita-to-expand-after.html"/>
    <m/>
    <s v="3033 Excelsior Blvd Ste 470"/>
    <n v="55416"/>
    <n v="44.947372999999999"/>
    <n v="-93.318464000000006"/>
    <m/>
    <m/>
    <m/>
    <m/>
    <m/>
    <m/>
    <m/>
    <m/>
    <s v="Metro"/>
    <x v="0"/>
  </r>
  <r>
    <x v="0"/>
    <d v="2018-01-20T00:00:00"/>
    <x v="9"/>
    <s v="Rochester"/>
    <s v="Olmsted"/>
    <s v="MN"/>
    <s v="The City of Rochester is seeking approximately $220,000 to assist with the expansion of Kerry Biofunctional Ingredients Inc. $220,000 MIF award."/>
    <s v="Manufacturing"/>
    <m/>
    <n v="22"/>
    <x v="0"/>
    <m/>
    <x v="1"/>
    <x v="1"/>
    <s v="n/a"/>
    <m/>
    <s v="2402 7th St NW"/>
    <n v="55901"/>
    <n v="44.035207999999997"/>
    <n v="-92.497909000000007"/>
    <s v="Government Financing"/>
    <m/>
    <m/>
    <s v="y"/>
    <s v="Kerry Group"/>
    <s v="Tralee"/>
    <m/>
    <s v="Ireland"/>
    <s v="South"/>
    <x v="0"/>
  </r>
  <r>
    <x v="0"/>
    <d v="2018-01-24T00:00:00"/>
    <x v="10"/>
    <s v="Luverne"/>
    <s v="Rock"/>
    <s v="MN"/>
    <s v="Midwest Dry Cast will break ground this spring on a 100-by-250-foot $1.75 million manufacturing building south of Luverne.... (brief info from Star Herald). Midwest DryCast is excited to announce we will be coming to Luverne, MN Spring of 2018! We will be offering drycast concrete agricultural slats. We are currently hiring. (from Facebook page). Received $176,750 from MN Job Creation Fund."/>
    <s v="Headquarters; Manufacturing"/>
    <n v="5416528"/>
    <n v="12"/>
    <x v="0"/>
    <m/>
    <x v="6"/>
    <x v="1"/>
    <s v="http://www.star-herald.com/news/midwest-dry-cast-start-production-summer-south-luverne"/>
    <m/>
    <s v="Hwy 75"/>
    <n v="56156"/>
    <n v="43.669119000000002"/>
    <n v="-96.212699000000001"/>
    <s v="Government Financing"/>
    <m/>
    <m/>
    <m/>
    <m/>
    <m/>
    <m/>
    <m/>
    <s v="Metro"/>
    <x v="0"/>
  </r>
  <r>
    <x v="0"/>
    <d v="2018-01-25T00:00:00"/>
    <x v="11"/>
    <s v="Mountain Iron"/>
    <s v="St Louis"/>
    <s v="MN"/>
    <s v="The operator of an Iron Range solar panel plant this week received the final piece of a $3.5 million loan package from the state, allowing it go ahead with an expansion. But its new operator, Heliene Inc., plans to use state loans to help fund a complete equipment refurbishment. Employment, now minimal, is expected to rise to 50 workers by July, said Heliene?s president Martin Pochtaruk. IRRRB approved a $1.75 m loan to Heliene, DEED awarded 1.75 m loan. Up to $1m forgiven if 70 jobs in 4 years"/>
    <s v="MF"/>
    <n v="5000000"/>
    <n v="60"/>
    <x v="0"/>
    <m/>
    <x v="7"/>
    <x v="1"/>
    <s v="http://www.startribune.com/loan-approved-for-operator-of-iron-range-solar-plant/471176863/"/>
    <m/>
    <s v="8787 Silicon Way"/>
    <n v="55768"/>
    <n v="47.521563"/>
    <n v="-92.606620000000007"/>
    <s v="Government Financing"/>
    <m/>
    <m/>
    <s v="y"/>
    <s v="Heliene"/>
    <s v="Sault Ste Marie"/>
    <s v="ON"/>
    <s v="CANADA"/>
    <s v="Metro"/>
    <x v="0"/>
  </r>
  <r>
    <x v="0"/>
    <d v="2018-01-30T00:00:00"/>
    <x v="12"/>
    <s v="Minneapolis"/>
    <s v="Hennepin"/>
    <s v="MN"/>
    <s v="Tech startup Upsie has closed on a $1.7 million round of funding led by an investor group that includes Techstars Ventures. The Minneapolis-based company plans to put the capital toward hiring between six and 10 more employees, said founder and CEO Clarence Bethea. The company, which has seven employees today, is also seeking to hire a chief operating officer. Upsie makes a mobile app that lets consumers compare, buy and track extended-service warranty plans."/>
    <s v="Headquarters"/>
    <m/>
    <n v="10"/>
    <x v="0"/>
    <m/>
    <x v="0"/>
    <x v="6"/>
    <s v="https://www.bizjournals.com/twincities/news/2018/01/30/tech-startup-upsie-lands-1-7m-to-ramp-up-hiring.html"/>
    <m/>
    <s v="2829 University Ave SE Ste 750"/>
    <n v="55414"/>
    <n v="44.971912000000003"/>
    <n v="-93.215952999999999"/>
    <s v="Venture Capital"/>
    <m/>
    <m/>
    <m/>
    <m/>
    <m/>
    <m/>
    <m/>
    <s v="Metro"/>
    <x v="0"/>
  </r>
  <r>
    <x v="0"/>
    <d v="2018-01-31T00:00:00"/>
    <x v="13"/>
    <s v="New Hope"/>
    <s v="Hennepin"/>
    <s v="MN"/>
    <s v="43 Projected new jobs, $1.1 million projected investment. JCF award of $409,000. (No other detail available.)"/>
    <s v="Office (Non-HQ); Manufacturing; Distribution Center"/>
    <n v="1100000"/>
    <n v="43"/>
    <x v="0"/>
    <m/>
    <x v="8"/>
    <x v="1"/>
    <m/>
    <m/>
    <s v="9300 Research Center Rd W"/>
    <n v="55428"/>
    <n v="45.054084000000003"/>
    <n v="-93.396889000000002"/>
    <m/>
    <m/>
    <m/>
    <m/>
    <s v="Liberty Diversified International"/>
    <s v="New Hope"/>
    <s v="MN"/>
    <m/>
    <s v="Metro"/>
    <x v="0"/>
  </r>
  <r>
    <x v="0"/>
    <d v="2018-01-31T00:00:00"/>
    <x v="14"/>
    <s v="St Paul"/>
    <s v="Ramsey"/>
    <s v="MN"/>
    <s v="University Enterprise Laboratories Planning 1 $6M building expansion in St Paul. The nonprofit University Enterprise Laboratories is planning an 18,000-square-foot addition onto its existing 125,000-square-foot building at 1000 Westgate Drive in St. Paul's Midway neighborhood."/>
    <s v="Headquarters; Research &amp; Dev"/>
    <n v="6000000"/>
    <m/>
    <x v="0"/>
    <n v="18000"/>
    <x v="9"/>
    <x v="4"/>
    <s v="http://bit.ly/2BHDl2n"/>
    <m/>
    <s v="1000 Westgate Dr"/>
    <n v="55114"/>
    <n v="44.970901499999997"/>
    <n v="-93.203796400000002"/>
    <m/>
    <m/>
    <m/>
    <m/>
    <m/>
    <m/>
    <m/>
    <m/>
    <s v="Metro"/>
    <x v="0"/>
  </r>
  <r>
    <x v="0"/>
    <d v="2018-02-02T00:00:00"/>
    <x v="15"/>
    <s v="Minneapolis"/>
    <s v="Hennepin"/>
    <s v="MN"/>
    <s v="Professional services and consulting firm Accenture announced Friday it plans to hire 400 employees in the Twin Cities by the end of 2020. The Dublin-based firm said the hiring would equate to a 25 percent increase in its Twin Cities staffing level, which is currently at 1,600 people. Accenture North America CEO Julie Sweet said the expansion is not in response to any major new contract in town. Rather it's part of a larger national expansion plan meant to keep up with demand."/>
    <s v="Office (Non-HQ)"/>
    <m/>
    <n v="400"/>
    <x v="0"/>
    <m/>
    <x v="10"/>
    <x v="4"/>
    <s v="https://www.bizjournals.com/twincities/news/2018/02/02/accenture-will-hire-hundreds-in-minneapolis-as-it.html"/>
    <m/>
    <s v="333 S 7th St"/>
    <n v="55402"/>
    <n v="44.974508"/>
    <n v="-93.267529999999994"/>
    <m/>
    <m/>
    <m/>
    <s v="y"/>
    <s v="Accenture plc"/>
    <s v="Dublin"/>
    <m/>
    <s v="Ireland"/>
    <s v="Metro"/>
    <x v="0"/>
  </r>
  <r>
    <x v="0"/>
    <d v="2018-02-06T00:00:00"/>
    <x v="16"/>
    <s v="Maple Grove"/>
    <s v="Hennepin"/>
    <s v="MN"/>
    <s v="Maple Grove-based Caisson Interventional, a medical device firm that specializes in heart valves, is expanding its facility by 30,000 square feet over the next few months with plans to add 50 jobs. Caisson received a $359,850 grant to help fund the expansion from Minnesota DEED, and is privately investing $750,000, according to a Tuesday announcement. Caisson purchased an existing building in Maple Grove and is making modifications."/>
    <s v="Headquarters; Research &amp; Dev"/>
    <n v="1110000"/>
    <n v="50"/>
    <x v="0"/>
    <n v="30000"/>
    <x v="11"/>
    <x v="1"/>
    <s v="http://www.startribune.com/caisson-interventional-plans-expansion-in-maple-grove-gets-360k-in-help-from-deed/473005343/"/>
    <m/>
    <s v="6500 Wedgewood Road North"/>
    <n v="55311"/>
    <n v="45.085818000000003"/>
    <n v="-93.418302999999995"/>
    <s v="Government Financing"/>
    <m/>
    <m/>
    <s v="y"/>
    <s v="LivaNova"/>
    <s v="London"/>
    <m/>
    <s v="United Kingdom"/>
    <s v="Metro"/>
    <x v="0"/>
  </r>
  <r>
    <x v="0"/>
    <d v="2018-02-12T00:00:00"/>
    <x v="17"/>
    <s v="Brooklyn Park"/>
    <s v="Hennepin"/>
    <s v="MN"/>
    <s v="Proto Labs is contemplating moving its Plymouth manufacturing facility to Brooklyn Park. Proto Labs will acquire and renovate a 152,000-square-foot building at 8500 Wyoming Ave. N. in Brooklyn Park. it would embark on a $10 million renovation and expansion, adding 50,000 SF to the structure and investing $3.5m in equipment for the new facility. Total project cost $29.9 million. April 2018 Update: The state awarded $850,000 from the Job Creation Fund"/>
    <s v="Manufacturing"/>
    <n v="29900000"/>
    <n v="139"/>
    <x v="0"/>
    <n v="50000"/>
    <x v="2"/>
    <x v="1"/>
    <s v="http://www.costar.com/News/Article/Proto-Labs-Considering-Move-to-Brooklyn-Park/198093"/>
    <m/>
    <s v="8500 Wyoming Ave N"/>
    <n v="55445"/>
    <n v="45.110162000000003"/>
    <n v="-93.383087000000003"/>
    <s v="Government Financing"/>
    <m/>
    <m/>
    <m/>
    <s v="Proto Labs Inc"/>
    <s v="Maple Plain"/>
    <s v="MN"/>
    <m/>
    <s v="Metro"/>
    <x v="0"/>
  </r>
  <r>
    <x v="0"/>
    <d v="2018-02-13T00:00:00"/>
    <x v="18"/>
    <s v="St Peter"/>
    <s v="Nicollet"/>
    <s v="MN"/>
    <s v="Jarraff Industries recently broke ground on a 20,000-square-foot addition to its main assembly building, which will add three new manufacturing lines, as many as 30 new jobs when completed late in 2018, and 2 new buildings -- 10,000-square-foot parts and service building, as well as a 5,000-square-foot finished machine storage facility. &quot;Our big goal is to double our production by 2020.&quot;"/>
    <s v="Headquarters; Manufacturing"/>
    <n v="3000000"/>
    <n v="30"/>
    <x v="0"/>
    <n v="35000"/>
    <x v="4"/>
    <x v="1"/>
    <s v="https://jarraff.com/press-releases/jarraff-industries-breaks-ground-expansion/ AND http://www.mankatofreepress.com/news/st-peter-s-jarraff-industries-hopes-to-double-production/article_23bf2eea-10ff-11e8-a9fa-836b6a288dfa.html"/>
    <m/>
    <s v="1730 Gault St"/>
    <n v="56082"/>
    <n v="44.345897999999998"/>
    <n v="-93.956339"/>
    <m/>
    <m/>
    <m/>
    <m/>
    <m/>
    <m/>
    <m/>
    <m/>
    <s v="South"/>
    <x v="0"/>
  </r>
  <r>
    <x v="0"/>
    <d v="2018-02-16T00:00:00"/>
    <x v="19"/>
    <s v="Minneapolis"/>
    <s v="Hennepin"/>
    <s v="MN"/>
    <s v="Abbott Northwestern Hospital is planning to build a $29.2 neuroscience unit within the next two years, becoming the latest Twin Cities health provider to place a big bet on a growing market for the medical field. Abbott Northwestern is owned by Allina Health System. Allina would provide most of the funding, with about $7.5 million coming through other nonprofits. The project, which would include 56 inpatient beds, would occupy about 42,200 square feet of unused space in an existing A/N building."/>
    <s v="Other"/>
    <n v="29200000"/>
    <m/>
    <x v="0"/>
    <m/>
    <x v="0"/>
    <x v="0"/>
    <s v="https://www.bizjournals.com/twincities/news/2018/02/16/abbott-northwestern-plans-29m-neuroscience-unit.html"/>
    <m/>
    <s v="800 E 28th St"/>
    <n v="55407"/>
    <n v="44.952092999999998"/>
    <n v="-93.262611000000007"/>
    <m/>
    <m/>
    <m/>
    <m/>
    <m/>
    <m/>
    <m/>
    <m/>
    <s v="Metro"/>
    <x v="0"/>
  </r>
  <r>
    <x v="0"/>
    <d v="2018-02-16T00:00:00"/>
    <x v="20"/>
    <s v="Minneapolis"/>
    <s v="Hennepin"/>
    <s v="MN"/>
    <s v="The business and cultural backers behind Norway House are planning a $10 million-plus expansion on a once-dilapidated block on the near South Side into what essentially will be the campus of the National Norwegian Center in America, including a Norwegian-Lutheran church. They plan to break ground in 2020 on an event center and banquet hall to replace vacant structures/houses. Lobbied 2017 MN Legislature for $5 million in bonds, will be matched by $5 million in private contributions."/>
    <s v="Other"/>
    <n v="10000000"/>
    <m/>
    <x v="0"/>
    <m/>
    <x v="12"/>
    <x v="5"/>
    <s v="http://www.startribune.com/the-expanded-national-norwegian-center-in-america-takes-shape-in-minneapolis/474216733/"/>
    <m/>
    <s v="913 E Franklin Ave"/>
    <n v="55404"/>
    <n v="44.962569000000002"/>
    <n v="-93.261041000000006"/>
    <s v="Government Financing"/>
    <m/>
    <m/>
    <m/>
    <m/>
    <m/>
    <m/>
    <m/>
    <s v="Metro"/>
    <x v="0"/>
  </r>
  <r>
    <x v="0"/>
    <d v="2018-02-17T00:00:00"/>
    <x v="21"/>
    <s v="Roseville"/>
    <s v="Ramsey"/>
    <s v="MN"/>
    <s v="New owner Kris Palestrini and his wife, Erin, have invested in employees and infrastructure at the company, which her father started in 1982. They?ve remade the Minnesota Industrial Battery website, rebranded the company and developed marketing materials. Minnesota Industrial Battery sells, services and maintains batteries for forklifts and lift trucks in Minnesota and neighboring states. He is looking to buy additional warehouse space in Roseville."/>
    <s v="Headquarters; Other"/>
    <m/>
    <n v="1"/>
    <x v="0"/>
    <m/>
    <x v="5"/>
    <x v="5"/>
    <s v="https://finance-commerce.com/2018/02/next-generation-ownership-recharges-battery-company/"/>
    <m/>
    <s v="2620 Cleveland Ave N"/>
    <n v="55113"/>
    <n v="45.019599900000003"/>
    <n v="-93.187202499999998"/>
    <m/>
    <m/>
    <m/>
    <m/>
    <m/>
    <m/>
    <m/>
    <m/>
    <s v="South"/>
    <x v="0"/>
  </r>
  <r>
    <x v="0"/>
    <d v="2018-02-20T00:00:00"/>
    <x v="22"/>
    <s v="Eagan"/>
    <s v="Dakota"/>
    <s v="MN"/>
    <s v="Purair is expanding to Minnesota and signing a 5-year lease on a 10,000 square foot building and expects to hire 10 FTE in Eagan within two years with an average hourly wage of $22.10. Purair Products, Inc. is a medical-grade oxygen supplier based in Kansas City. They supply liquid and gas oxygen to patients and nursing homes, and are expanding to a hospital chain in the Kansas City area. Received MIF loan of $200,000 from State of MN."/>
    <s v="Manufacturing"/>
    <n v="560750"/>
    <n v="10"/>
    <x v="0"/>
    <n v="10000"/>
    <x v="0"/>
    <x v="0"/>
    <s v="http://eagan.granicus.com/MetaViewer.php?view_id=8&amp;clip_id=1829&amp;meta_id=86939"/>
    <m/>
    <s v="909 Apollo Dr"/>
    <n v="55121"/>
    <n v="44.845528999999999"/>
    <n v="-93.134251000000006"/>
    <s v="Government Financing"/>
    <m/>
    <m/>
    <m/>
    <s v="PurAir Products Inc"/>
    <s v="North Kansas City"/>
    <s v="MO"/>
    <m/>
    <s v="Metro"/>
    <x v="0"/>
  </r>
  <r>
    <x v="0"/>
    <d v="2018-02-21T00:00:00"/>
    <x v="23"/>
    <s v="St Paul"/>
    <s v="Ramsey"/>
    <s v="MN"/>
    <s v="American Public Media, parent of Minnesota Public Radio and NPR, is launching a startup incubator and innovation center in downtown St. Paul later this year. APM plans to open the Glen Nelson Center, a 10,000-square-foot shared workspace."/>
    <s v="Office (Non-HQ)"/>
    <m/>
    <m/>
    <x v="0"/>
    <n v="10000"/>
    <x v="0"/>
    <x v="2"/>
    <s v="https://www.bizjournals.com/twincities/news/2018/02/21/mpr-parent-launching-incubator-co-working-space-in.html"/>
    <m/>
    <s v="370 Wabasha St N Ste 500"/>
    <n v="55102"/>
    <n v="44.932929000000001"/>
    <n v="-93.118967999999995"/>
    <m/>
    <m/>
    <m/>
    <m/>
    <m/>
    <m/>
    <m/>
    <m/>
    <s v="Metro"/>
    <x v="0"/>
  </r>
  <r>
    <x v="0"/>
    <d v="2018-02-24T00:00:00"/>
    <x v="24"/>
    <s v="Minneapolis"/>
    <s v="Hennepin"/>
    <s v="MN"/>
    <s v="&quot;Two Minneapolis companies are teaming up to help e-commerce sites. Sezzle, started in 2016, and CartStack, started about five years ago, both seek to tap an expanding market of online sellers. Sezzle's product, an online payment plan, splits a customer's order total from a participating e-commerce site into four installments without charging the customer interest or fees. CartStack offers marketing strategies to e-commerce. Hope to double Sezzle's 15 FT and PT employees in coming 12 months."/>
    <s v="Headquarters"/>
    <m/>
    <n v="15"/>
    <x v="0"/>
    <m/>
    <x v="0"/>
    <x v="6"/>
    <s v="http://www.startribune.com/minneapolis-companies-sezzle-and-cartstack-seek-growth-through-partnership/474999273/"/>
    <m/>
    <s v="1516 W Lake St"/>
    <n v="55408"/>
    <n v="44.948520000000002"/>
    <n v="-93.300982000000005"/>
    <m/>
    <m/>
    <m/>
    <m/>
    <m/>
    <m/>
    <m/>
    <m/>
    <s v="Metro"/>
    <x v="0"/>
  </r>
  <r>
    <x v="0"/>
    <d v="2018-02-26T00:00:00"/>
    <x v="25"/>
    <s v="Cottage Grove"/>
    <s v="Washington"/>
    <s v="MN"/>
    <s v="Modern Automotive Performance, an aftermarket automotive products distributor that manufactures parts for specific vehicles, is based in Cottage Grove. It will invest $1.6 million and create 21 jobs in an expansion of its facilities. It currently has 44 employees. The company will build a 24,000-square-foot addition to its current 20,000 SF building. The new jobs will pay wages averaging $15.67 an hour. DEED award of $135,013 from Job Creation Fund in April, 2018."/>
    <s v="Manufacturing; Distribution Center"/>
    <n v="1600000"/>
    <n v="21"/>
    <x v="0"/>
    <n v="24000"/>
    <x v="0"/>
    <x v="3"/>
    <s v="https://mn.gov/deed/newscenter/press-releases/#/detail/appId/1/id/337927 AND https://www.swcbulletin.com/business/announcements/4407520-business-park-ramps-expansions"/>
    <m/>
    <s v="9800 Hemingway Ave S"/>
    <n v="55016"/>
    <n v="44.833567000000002"/>
    <n v="-92.952528999999998"/>
    <s v="Government Financing"/>
    <m/>
    <m/>
    <m/>
    <m/>
    <m/>
    <m/>
    <m/>
    <s v="Metro"/>
    <x v="0"/>
  </r>
  <r>
    <x v="0"/>
    <d v="2018-02-26T00:00:00"/>
    <x v="26"/>
    <s v="Cottage Grove"/>
    <s v="Washington"/>
    <s v="MN"/>
    <s v="The first phase of a Cottage Grove business park is under construction with a 161,000-square-foot building for cardboard maker North Star Sheets. The new building will be a new rail-served manufacturing facility, and is at 7550 91st St. S. North Star Sheets has told the city it intends to hire 40 to 50 people. The building is scheduled for completion in September."/>
    <s v="Manufacturing"/>
    <m/>
    <n v="50"/>
    <x v="0"/>
    <n v="161000"/>
    <x v="13"/>
    <x v="1"/>
    <s v="https://finance-commerce.com/2018/04/cottage-grove-development-lands-cardboard-manufacturer/ AND https://www.swcbulletin.com/business/announcements/4407520-business-park-ramps-expansions"/>
    <m/>
    <s v="7550 91st St S"/>
    <n v="55016"/>
    <n v="44.819305"/>
    <n v="-92.953259000000003"/>
    <m/>
    <m/>
    <m/>
    <m/>
    <m/>
    <m/>
    <m/>
    <m/>
    <s v="Metro"/>
    <x v="0"/>
  </r>
  <r>
    <x v="0"/>
    <d v="2018-03-01T00:00:00"/>
    <x v="27"/>
    <s v="Ranier"/>
    <s v="Koochiching"/>
    <s v="MN"/>
    <s v="Cantilever Bridge Distillery LLC will invest $5.7 million to build a 14,000-square-foot spirits manufacturing facility in the northern Minnesota community of Ranier, a city of about 145 people, located 3 miles east of International Falls in Koochiching County. Plans call for distilling several types of liquor for regional and international sale. Cantilever anticipates hiring 10 people within three years at salaries averaging $26.96 an hour. DEED award: $175,000 from Job Creation Fund."/>
    <s v="Manufacturing; Dining"/>
    <n v="5732674"/>
    <n v="10"/>
    <x v="0"/>
    <n v="14000"/>
    <x v="1"/>
    <x v="1"/>
    <s v="http://www.ifallsjournal.com/news/local/micro-distillery-project-in-the-works/article_f27bc1e9-644f-52d6-9ff2-9a08ea6e729d.html AND https://mn.gov/deed/newscenter/press-releases/#/detail/appId/1/id/337927"/>
    <m/>
    <s v="2078 Spruce St"/>
    <n v="56668"/>
    <n v="48.614629000000001"/>
    <n v="-93.348427000000001"/>
    <s v="Government Financing"/>
    <m/>
    <m/>
    <m/>
    <m/>
    <m/>
    <m/>
    <m/>
    <s v="North"/>
    <x v="0"/>
  </r>
  <r>
    <x v="0"/>
    <d v="2018-03-01T00:00:00"/>
    <x v="28"/>
    <s v="Nisswa"/>
    <s v="Crow Wing"/>
    <s v="MN"/>
    <s v="City of Nisswa officials have approved the plans and work is about to start on a major expansion of Grand View Lodge, a year-round resort and conference center on the north shore of Gull Lake. The expansion includes a 60-room, 36,000 SF hotel and conference room; a 15,800 SF recreation building/outdoor game area; a 5730 SF addition to the resort's spa; a 1260 SF an outdoor wedding chapel, and 21 twin homes. Declined to discuss cost. (Update 5/2018: $30 million expansion.)"/>
    <s v="Other"/>
    <n v="30000000"/>
    <m/>
    <x v="0"/>
    <n v="58646"/>
    <x v="14"/>
    <x v="7"/>
    <s v="http://bit.ly/2F6bdN2. Details from http://cityofnisswa.com/media/Document_652.pdf"/>
    <m/>
    <s v="23521 Nokomis Ave"/>
    <n v="56468"/>
    <n v="46.493298000000003"/>
    <n v="-94.314336999999995"/>
    <m/>
    <m/>
    <m/>
    <m/>
    <m/>
    <m/>
    <m/>
    <m/>
    <s v="Central"/>
    <x v="0"/>
  </r>
  <r>
    <x v="0"/>
    <d v="2018-03-01T00:00:00"/>
    <x v="29"/>
    <s v="Barnesville"/>
    <s v="Clay"/>
    <s v="MN"/>
    <s v="Stoneridge will invest $725,000 to expand their operations to 7,500 square feet of newly renovated office space. City of Barnesville EDA Director Karen Lauer said the EDA is working on an agreement with Stoneridge Software for the old 52 Building. Stoneridge Software has accepted the agreement, with a seven-year lease. DEED Award: Job Creation Fund $140,000."/>
    <s v="Office (Non-HQ); Other"/>
    <n v="725000"/>
    <n v="7"/>
    <x v="0"/>
    <m/>
    <x v="3"/>
    <x v="4"/>
    <s v="https://mn.gov/deed/newscenter/press-releases/#/detail/appId/1/id/337927. ALSO http://www.barnesvillemn.com/wp-content/uploads/2018/01/Special-City-Council-Meeting-January-22-2018.pdf (Application)"/>
    <m/>
    <s v="101 Front St S"/>
    <n v="56514"/>
    <n v="46.653201000000003"/>
    <n v="-96.420327"/>
    <s v="Government Financing"/>
    <m/>
    <m/>
    <m/>
    <m/>
    <m/>
    <m/>
    <m/>
    <s v="Central"/>
    <x v="0"/>
  </r>
  <r>
    <x v="0"/>
    <d v="2018-03-05T00:00:00"/>
    <x v="30"/>
    <s v="Minneapolis"/>
    <s v="Hennepin"/>
    <s v="MN"/>
    <s v="We're investing $250 million to remodel 28 of our Twin Cities stores (about half) this year, on the way to enhancing all area stores over the next few years. It's part of our efforts to reimagine more than 1,000 stores across the country by the end of 2020."/>
    <s v="Headquarters"/>
    <n v="250000000"/>
    <m/>
    <x v="0"/>
    <m/>
    <x v="0"/>
    <x v="8"/>
    <s v="https://corporate.target.com/article/2018/03/store-remodels"/>
    <m/>
    <s v="1000 Nicollet Mall"/>
    <n v="55403"/>
    <n v="44.973598500000001"/>
    <n v="-93.275703399999998"/>
    <m/>
    <m/>
    <m/>
    <m/>
    <m/>
    <m/>
    <m/>
    <m/>
    <s v="Metro"/>
    <x v="0"/>
  </r>
  <r>
    <x v="0"/>
    <d v="2018-03-06T00:00:00"/>
    <x v="31"/>
    <s v="Minneapolis"/>
    <s v="Hennepin"/>
    <s v="MN"/>
    <s v="Level Office, a co-working provider new to the Twin Cities, has purchased the former home of the Art Institutes International Minnesota in downtown Minneapolis. Occupying all four floors of the 78,600-square-foot LaSalle Building will make Chicago-based Level Office one of the largest co-working operators in the metro and possibly the largest collaborative space under one roof. Level bought the building last week, though they did not reveal the price. The company will renovate the space."/>
    <s v="Office (Non-HQ)"/>
    <m/>
    <m/>
    <x v="0"/>
    <m/>
    <x v="0"/>
    <x v="2"/>
    <s v="http://www.startribune.com/co-working-provider-level-office-purchases-downtown-minneapolis-building/475885803/"/>
    <m/>
    <s v="15 South 9th St"/>
    <n v="55402"/>
    <n v="44.975833999999999"/>
    <n v="-93.276589999999999"/>
    <m/>
    <m/>
    <m/>
    <m/>
    <s v="Novel Coworking"/>
    <s v="Chicago"/>
    <s v="IL"/>
    <m/>
    <s v="Metro"/>
    <x v="0"/>
  </r>
  <r>
    <x v="0"/>
    <d v="2018-03-08T00:00:00"/>
    <x v="32"/>
    <s v="St Paul"/>
    <s v="Ramsey"/>
    <s v="MN"/>
    <s v="The Farm to Fork startup accelerator launching this year plans to move into downtown St. Paul's Osborn370 building. Farm to Fork is a partnership between Techstars, Cargill and Ecolab. Farm to Fork will lease 10,000 square feet in the building, which is owned by an investor group. St. Paul?s housing and redevelopment authority provided Techstars with a $200,000, three-year loan to go toward office space improvement and equipment. Cargill and Ecolab are providing $160K to cover expenses."/>
    <s v="Headquarters"/>
    <n v="360000"/>
    <m/>
    <x v="0"/>
    <n v="10000"/>
    <x v="10"/>
    <x v="4"/>
    <s v="https://www.bizjournals.com/twincities/news/2018/03/08/techstars-farm-to-fork-accelerator-headed-for-st.html"/>
    <m/>
    <m/>
    <n v="55101"/>
    <n v="44.951483000000003"/>
    <n v="-93.090648999999999"/>
    <s v="Government Financing"/>
    <m/>
    <m/>
    <m/>
    <m/>
    <m/>
    <m/>
    <m/>
    <s v="Metro"/>
    <x v="0"/>
  </r>
  <r>
    <x v="0"/>
    <d v="2018-03-13T00:00:00"/>
    <x v="33"/>
    <s v="Minneapolis"/>
    <s v="Hennepin"/>
    <s v="MN"/>
    <s v="Health IT company Ability Network will expand its Minneapolis office by 17,000 square feet to accommodate its growth, bringing their space to 67000 SF. The announcement comes two weeks after Bowie, Md.-based Inovalon Holdings Inc. announced it would buy Ability. Ability, which reached a deal to be sold for $1.2 billion earlier this month, has about 200 employees based in Minneapolis."/>
    <s v="Headquarters"/>
    <m/>
    <m/>
    <x v="0"/>
    <n v="17000"/>
    <x v="3"/>
    <x v="4"/>
    <s v="https://www.bizjournals.com/twincities/news/2018/03/20/tech-company-ability-network-to-exand-minneapolis.html"/>
    <m/>
    <s v="100 N 6th St Ste 900A"/>
    <n v="55403"/>
    <n v="44.979698200000001"/>
    <n v="-93.274803199999994"/>
    <m/>
    <m/>
    <m/>
    <m/>
    <m/>
    <m/>
    <m/>
    <m/>
    <s v="Metro"/>
    <x v="0"/>
  </r>
  <r>
    <x v="0"/>
    <d v="2018-03-13T00:00:00"/>
    <x v="34"/>
    <s v="Arden Hills"/>
    <s v="Ramsey"/>
    <s v="MN"/>
    <s v="Following a record sales year, Arden Hills medical-products maker IntriCon Corp. announced the signing of a five-year lease on 30,000 square feet of new manufacturing space. It is expanding its manufacturing footprint by about 30 percent. IntriCon declined identify exactly which devices would be manufactured under contract in the new space, but indicated that the growth in sales in the fourth quarter was primarily driven by production of Medtronics MiniMed wireless glucose monitoring systems."/>
    <s v="Headquarters; Manufacturing; Research &amp; Dev"/>
    <n v="3000000"/>
    <n v="150"/>
    <x v="0"/>
    <n v="30000"/>
    <x v="11"/>
    <x v="1"/>
    <s v="http://www.startribune.com/arden-hills-intricon-grows-medical-manufacturing-business/476711123/"/>
    <m/>
    <s v="1260 Red Fox Rd"/>
    <n v="55112"/>
    <n v="45.0564003"/>
    <n v="-93.152900700000004"/>
    <m/>
    <m/>
    <m/>
    <m/>
    <m/>
    <m/>
    <m/>
    <m/>
    <s v="Metro"/>
    <x v="0"/>
  </r>
  <r>
    <x v="0"/>
    <d v="2018-03-16T00:00:00"/>
    <x v="35"/>
    <s v="Bemidji"/>
    <s v="Beltrami"/>
    <s v="MN"/>
    <s v="Delta Dental of Minnesota to Break Ground on Bemidji Facility This Spring. Up to 150 jobs in the regional nonprofit's sales, technology and administrative services departments will be created in the process. After filling its initial need of up to 150 new workers, Delta Dental is expected to become one of Bemidji's top ten employers. The new development, said to cost between $12 million and $13 million according to the Bemidji Pioneer, is projected to open by the end of 2019."/>
    <s v="Office (Non-HQ)"/>
    <n v="13000000"/>
    <n v="150"/>
    <x v="0"/>
    <m/>
    <x v="0"/>
    <x v="6"/>
    <s v="https://www.bemidjipioneer.com/business/technology/4418641-updated-delta-dental-bring-150-jobs-bemidji"/>
    <m/>
    <m/>
    <n v="56601"/>
    <n v="47.571964000000001"/>
    <n v="-94.801271999999997"/>
    <m/>
    <m/>
    <m/>
    <m/>
    <s v="Delta Dental of Minnesota"/>
    <s v="Minneapolis"/>
    <s v="MN"/>
    <m/>
    <s v="North"/>
    <x v="0"/>
  </r>
  <r>
    <x v="0"/>
    <d v="2018-03-19T00:00:00"/>
    <x v="36"/>
    <s v="Hutchinson"/>
    <s v="McLeod"/>
    <s v="MN"/>
    <s v="&quot;Uponor North America is hosting a job fair March 22 at its recently acquired Hutchinson facility, which is now slated to open this summer. Officials said they need to hire 50 workers for the former TDK Corp./Hutchinson Technology Inc. building that Uponor bought in August 2017 for $6.4 million. Finland-based Uponor is converting the building into a pipe making plant and needs workers sooner than it anticipated. The manufacturing plant is expected to become operational this summer."/>
    <s v="Manufacturing"/>
    <m/>
    <n v="50"/>
    <x v="0"/>
    <m/>
    <x v="2"/>
    <x v="1"/>
    <s v="http://www.startribune.com/uponor-hosts-job-fair-at-new-hutchinson-site-on-thursday/477321293/"/>
    <s v="Star Tribune"/>
    <s v="500 Technology Dr."/>
    <n v="55350"/>
    <n v="44.901072999999997"/>
    <n v="-94.357286000000002"/>
    <s v="Government Financing"/>
    <s v="BDPI"/>
    <n v="353563"/>
    <s v="y"/>
    <s v="Uponor Corporation"/>
    <s v="Vantaa"/>
    <m/>
    <s v="Finland"/>
    <s v="Central"/>
    <x v="0"/>
  </r>
  <r>
    <x v="0"/>
    <d v="2018-03-20T00:00:00"/>
    <x v="37"/>
    <s v="Brooklyn Center"/>
    <s v="Hennepin"/>
    <s v="MN"/>
    <s v="When BKBM Engineers was building out its Brooklyn Center office in the Earle Brown Tower, the firm's priorities were to create more room for its employees, to design a space that symbolized the structural engineering firm's character, and to keep the project cost reasonable. BKBM moved to its new 16,955-SF space in October. It had previously operated out of a 10,000-square-foot headquarters in Brooklyn Center."/>
    <s v="Headquarters"/>
    <m/>
    <m/>
    <x v="0"/>
    <n v="6955"/>
    <x v="15"/>
    <x v="4"/>
    <s v="https://www.bizjournals.com/twincities/news/2018/03/20/cool-offices-bkbm-engineers-grows-into-lighter.html"/>
    <m/>
    <s v="6120 Earle Brown Dr"/>
    <n v="55430"/>
    <n v="45.066693000000001"/>
    <n v="-93.301134000000005"/>
    <m/>
    <m/>
    <m/>
    <m/>
    <m/>
    <m/>
    <m/>
    <m/>
    <s v="Metro"/>
    <x v="0"/>
  </r>
  <r>
    <x v="0"/>
    <d v="2018-03-20T00:00:00"/>
    <x v="38"/>
    <s v="Minneapolis"/>
    <s v="Hennepin"/>
    <s v="MN"/>
    <s v="GearJunkie, founded in 2006 as an occasional newspaper column on outdoor activities and equipment by its founder that has grown into an online business approaching $2 million in revenue, is moving its headquarters from Minneapolis to Denver. Founder Stephen Regenold said, despite the move of several people to Denver, the Minneapolis will be our rebranded creative arm, GearJunkie Media. Staff will increase to 10 people as we build a marketing agency to complement our editorial work."/>
    <s v="Office (Non-HQ)"/>
    <m/>
    <m/>
    <x v="0"/>
    <m/>
    <x v="16"/>
    <x v="9"/>
    <s v="http://strib.mn/2FQoWIe AND https://gearjunkie.com/gearjunkie-denver-new-office-moved-colorado"/>
    <m/>
    <s v="2836 Lyndale Ave S Ste 100"/>
    <n v="55408"/>
    <n v="44.950549000000002"/>
    <n v="-93.288754999999995"/>
    <m/>
    <m/>
    <m/>
    <m/>
    <s v="GearJunkie"/>
    <s v="Denver"/>
    <s v="CO"/>
    <m/>
    <s v="Metro"/>
    <x v="0"/>
  </r>
  <r>
    <x v="0"/>
    <d v="2018-03-21T00:00:00"/>
    <x v="39"/>
    <s v="Rochester"/>
    <s v="Olmsted"/>
    <s v="MN"/>
    <s v="Mayo Clinic spin-off company Sonex Health LLC makes a medical device to improve the treatment of carpel tunnel syndrome. Sonex continues to attract startup financing, this time from the city of Rochester's economic development fund. Sonex landed a $150,000 loan convertible into equity from the fund in February. Sonex currently has five employees and is looking into growing its Rochester operations; hiring key employees, including sales personnel; and building a training center for physicians."/>
    <s v="Headquarters; Manufacturing"/>
    <m/>
    <m/>
    <x v="0"/>
    <m/>
    <x v="11"/>
    <x v="1"/>
    <s v="http://bit.ly/2HS7nnu"/>
    <m/>
    <s v="11 1st Ave SW Ste 202"/>
    <n v="55902"/>
    <n v="44.023049"/>
    <n v="-92.464720999999997"/>
    <m/>
    <m/>
    <m/>
    <m/>
    <m/>
    <m/>
    <m/>
    <m/>
    <s v="South"/>
    <x v="0"/>
  </r>
  <r>
    <x v="0"/>
    <d v="2018-03-21T00:00:00"/>
    <x v="40"/>
    <s v="Minneapolis"/>
    <s v="Hennepin"/>
    <s v="MN"/>
    <s v="St. Louis Park-based The Fish Guys, a wholesale supplier of seafood since 1993, has kicked off Market House Meats, which will deliver beef, pork and chicken to local restaurants and retailers across the Midwest. Higgins expects the company to continue hiring warehouse workers and drivers as Market House Meat grows. The division is projected to double the company's sales in three years, which would be &quot;north of $100 million&quot;."/>
    <s v="Headquarters; Warehouse"/>
    <m/>
    <m/>
    <x v="0"/>
    <m/>
    <x v="0"/>
    <x v="10"/>
    <s v="https://www.bizjournals.com/twincities/news/2018/03/21/surf-and-turf-the-fish-guys-launch-wholesale-meat.html"/>
    <m/>
    <s v="301 Royalston Ave"/>
    <n v="55405"/>
    <n v="44.980955000000002"/>
    <n v="-93.283832000000004"/>
    <m/>
    <m/>
    <m/>
    <m/>
    <m/>
    <m/>
    <m/>
    <m/>
    <s v="Metro"/>
    <x v="0"/>
  </r>
  <r>
    <x v="0"/>
    <d v="2018-03-23T00:00:00"/>
    <x v="41"/>
    <s v="Minneapolis"/>
    <s v="Hennepin"/>
    <s v="MN"/>
    <s v="Hansen Reynolds, one of Milwaukee's largest law firms, has opened an office in downtown Minneapolis. The firm opened shop in the Capella Tower earlier this month and hired local attorneys Michael Okerlund and Nick Boebel. The litigation-only firm primarily does complex commercial work and patent law. It's the fourth office for the firm, and Minneapolis was a natural expansion location because of the potential clients and current work in the area, said Brian Ammerman, an administrator for H/R."/>
    <s v="Office (Non-HQ)"/>
    <m/>
    <n v="2"/>
    <x v="0"/>
    <m/>
    <x v="17"/>
    <x v="4"/>
    <s v="https://www.bizjournals.com/twincities/news/2018/03/23/law-firm-hansen-reynolds-expands-to-minneapolis.html"/>
    <m/>
    <s v="225 South 6th St"/>
    <n v="55402"/>
    <n v="44.976666999999999"/>
    <n v="-93.268377000000001"/>
    <m/>
    <m/>
    <m/>
    <m/>
    <s v="Hansen Reynolds"/>
    <s v="Milwaukee"/>
    <s v="WI"/>
    <m/>
    <s v="Metro"/>
    <x v="0"/>
  </r>
  <r>
    <x v="0"/>
    <d v="2018-03-26T00:00:00"/>
    <x v="42"/>
    <s v="Minneapolis - TBD"/>
    <s v="Hennepin"/>
    <s v="MN"/>
    <s v="Tech company Icertis, which recently closed on a $50 million round of venture capital, plans to open a Twin Cities office that will eventually employ 20 people. The Bellevue, Wash.-based startup wants a Twin Cities location partly to be closer to clients, including manufacturing giant 3M Co. Icertis is scouting for office space in the Twin Cities, where it will add staff in sales, implementation and customer support roles."/>
    <s v="Office (Non-HQ)"/>
    <m/>
    <n v="20"/>
    <x v="0"/>
    <m/>
    <x v="3"/>
    <x v="4"/>
    <s v="https://www.bizjournals.com/twincities/news/2018/02/26/after-raising-50m-seattle-area-startup-icertis.html"/>
    <m/>
    <m/>
    <n v="55401"/>
    <n v="44.984577000000002"/>
    <n v="-93.269097000000002"/>
    <s v="Venture Capital"/>
    <m/>
    <m/>
    <m/>
    <s v="Icertis"/>
    <s v="Bellevue"/>
    <s v="WA"/>
    <m/>
    <s v="Central"/>
    <x v="0"/>
  </r>
  <r>
    <x v="0"/>
    <d v="2018-03-28T00:00:00"/>
    <x v="43"/>
    <s v="Rochester"/>
    <s v="Olmsted"/>
    <s v="MN"/>
    <s v="Mayo Clinic spin-off company Vyriad Inc., maker of genetically-engineered viruses designed to destroy cancer tumors, is raising $9 million to fund an expansion at the former IBM building in Rochester where it plans to hire and house up to 30 new employees. Vyriad has received a $270K loan from the Minnesota Investment Fund. Vyriad also landed a $109K loan from the Rochester Economic Development Fund. Vyriad is seeking to hire between 20 and 30 new workers within two years."/>
    <s v="Headquarters"/>
    <n v="9000000"/>
    <n v="30"/>
    <x v="0"/>
    <m/>
    <x v="11"/>
    <x v="1"/>
    <s v="http://bit.ly/2pMPm3u"/>
    <m/>
    <s v="221 1st Ave SW Ste 102"/>
    <n v="55902"/>
    <n v="44.020932000000002"/>
    <n v="-92.464712000000006"/>
    <s v="Government Financing"/>
    <m/>
    <m/>
    <m/>
    <m/>
    <m/>
    <m/>
    <m/>
    <s v="South"/>
    <x v="0"/>
  </r>
  <r>
    <x v="1"/>
    <d v="2018-04-02T00:00:00"/>
    <x v="44"/>
    <s v="Chaska"/>
    <s v="Scott"/>
    <s v="MN"/>
    <s v="Formacoat is a medical device contract manufacturing company based in Chaska. The company specializes in applying medical device coating applications. Formacoat is seeking to build an approx. 30,000 SF building on about 3 acres of the former building center site. The expansion will enable Formacoat to significantly expand is core business and add other technologies to is capabilities. 15 new mfg jobs upon opening and 10-15 more new jobs in the first 2-3 years. Sept 2018 MIF Award $270K"/>
    <s v="Headquarters"/>
    <n v="4740753"/>
    <n v="30"/>
    <x v="0"/>
    <n v="30000"/>
    <x v="11"/>
    <x v="1"/>
    <s v="https://www.chaskamn.com/AgendaCenter/ViewFile/Item/3489?fileID=9379"/>
    <m/>
    <s v="12500 Zinran Ave"/>
    <n v="55378"/>
    <n v="44.778035000000003"/>
    <n v="-93.386754999999994"/>
    <s v="Government Financing"/>
    <m/>
    <m/>
    <m/>
    <m/>
    <m/>
    <m/>
    <m/>
    <s v="Metro"/>
    <x v="0"/>
  </r>
  <r>
    <x v="1"/>
    <d v="2018-04-03T00:00:00"/>
    <x v="45"/>
    <s v="Plymouth"/>
    <s v="Hennepin"/>
    <s v="MN"/>
    <s v="Plymouth-based manufacturer Turck Inc. has added 38,000 square feet of manufacturing and office space near its Plymouth, Minnesota, headquarters as it works to keep up with unplanned demand for its products. Turck makes components for industrial automation equipment, including sensors and cables, among other products. To keep up with demand, it leased two new buildings next to its 125,000-square-foot manufacturing facility in Plymouth, adding a total of 40,000 add'l SF since 2017. Remodeling."/>
    <s v="Office (Non-HQ); Manufacturing"/>
    <m/>
    <m/>
    <x v="0"/>
    <n v="38000"/>
    <x v="4"/>
    <x v="1"/>
    <s v="https://www.bizjournals.com/twincities/news/2018/04/03/turck-expands-plymouth-operations-as-company-grows.html"/>
    <m/>
    <s v="3000 Campus Dr"/>
    <n v="55441"/>
    <n v="45.013900800000002"/>
    <n v="-93.4524002"/>
    <m/>
    <m/>
    <m/>
    <s v="y"/>
    <s v="Hans Turck GmbH &amp; Co KgG"/>
    <s v="Mulheim an der Ruhr"/>
    <m/>
    <s v="Germany"/>
    <s v="Metro"/>
    <x v="0"/>
  </r>
  <r>
    <x v="1"/>
    <d v="2018-04-03T00:00:00"/>
    <x v="46"/>
    <s v="Minneapolis"/>
    <s v="Hennepin"/>
    <s v="MN"/>
    <s v="St. Paul-based appliance retailer Warners' Stellian has paid $6.5 million for an 80,000-square-foot building that will give it both a second warehouse (70,000 SF) and new retail store (10,000 SF) at 2601 Broadway St. NE in northeast Minneapolis. Warners' started work Monday on renovations to turn up to 15 percent of the newly acquired building into a retail store."/>
    <s v="Warehouse; Retail"/>
    <m/>
    <m/>
    <x v="0"/>
    <m/>
    <x v="0"/>
    <x v="8"/>
    <s v="https://www.bizjournals.com/twincities/news/2018/04/04/warners-stellian-buying-80-000-square-foot.html"/>
    <m/>
    <s v="2601 Broadway St NE"/>
    <n v="55413"/>
    <n v="44.999775999999997"/>
    <n v="-93.224134000000006"/>
    <m/>
    <m/>
    <m/>
    <m/>
    <s v="Warners' Stellian Appliance Co"/>
    <s v="St Paul"/>
    <s v="MN"/>
    <m/>
    <s v="Metro"/>
    <x v="0"/>
  </r>
  <r>
    <x v="1"/>
    <d v="2018-04-04T00:00:00"/>
    <x v="47"/>
    <s v="Maple Grove"/>
    <s v="Hennepin"/>
    <s v="MN"/>
    <s v="Home fragrance and personal care products company Illume Holding Co. said it will invest nearly $10.6 million in Maple Grove. Illume plans to move into a new 288,000-square-foot leased facility in the Arbor Lakes Business Park in Maple Grove. The move from Minneapolis/Bloomington will enable the company to consolidate its operations at a single site. Along with the move, the company plans to add 85 jobs within two years. DEED awarded a $175K JCF grant and $450K MIF loan to Illume."/>
    <s v="Manufacturing"/>
    <n v="10582000"/>
    <n v="85"/>
    <x v="0"/>
    <n v="288000"/>
    <x v="18"/>
    <x v="1"/>
    <s v="https://mn.gov/deed/newscenter/press-releases/?id=1045-334148"/>
    <m/>
    <s v="12730 Main St"/>
    <n v="55369"/>
    <n v="45.094577999999998"/>
    <n v="-93.441816000000003"/>
    <s v="Government Financing"/>
    <m/>
    <m/>
    <m/>
    <m/>
    <m/>
    <m/>
    <m/>
    <s v="Metro"/>
    <x v="0"/>
  </r>
  <r>
    <x v="1"/>
    <d v="2018-04-05T00:00:00"/>
    <x v="48"/>
    <s v="Minneapolis"/>
    <s v="Hennepin"/>
    <s v="MN"/>
    <s v="E-commerce startup serving farmers to boost Twin Cities hiring after raising $1.75M. AgVend plans to build out its sales, marketing and customer-support operations in the Twin Cities, [CEO Alexander] Reichert said. He estimated the company will employ between 10 and 15 workers here within the next two years, and will open a downtown Minneapolis location by the end of the second quarter."/>
    <s v="Headquarters"/>
    <m/>
    <n v="15"/>
    <x v="0"/>
    <m/>
    <x v="19"/>
    <x v="4"/>
    <s v="http://bit.ly/2q901F2"/>
    <m/>
    <s v="400 S 4th St Ste 401-227"/>
    <n v="55415"/>
    <n v="44.976801999999999"/>
    <n v="-93.264778000000007"/>
    <m/>
    <m/>
    <m/>
    <m/>
    <m/>
    <m/>
    <m/>
    <m/>
    <s v="Metro"/>
    <x v="0"/>
  </r>
  <r>
    <x v="1"/>
    <d v="2018-04-06T00:00:00"/>
    <x v="49"/>
    <s v="Plymouth"/>
    <s v="Hennepin"/>
    <s v="MN"/>
    <s v="Global hearing aid distributor Amplifon will move its North American headquarters from Plymouth to downtown Minneapolis. Global HQ is in Italy. Amplifon is best-known for its Miracle-Ear brand. In November, the North American headquarters staff of 180 people will move from Plymouth to the 23rd and 24th floors of the 150 tower in the Fifth Street Towers in Minneapolis. The move will cut Amplifon's space from 50,000 square feet to 44,000, but the company plans to add 40 jobs soon after relocating."/>
    <s v="Headquarters"/>
    <m/>
    <n v="40"/>
    <x v="0"/>
    <m/>
    <x v="11"/>
    <x v="1"/>
    <s v="https://www.bizjournals.com/twincities/news/2018/04/06/miracle-ear-parent-will-move-180-employees-from.html"/>
    <m/>
    <s v="5000 Cheshire Ln N"/>
    <n v="55446"/>
    <n v="45.043554"/>
    <n v="-93.457618999999994"/>
    <m/>
    <m/>
    <m/>
    <s v="y"/>
    <s v="Amplifon SpA"/>
    <s v="Milan"/>
    <s v="CH"/>
    <s v="Italy"/>
    <s v="Metro"/>
    <x v="0"/>
  </r>
  <r>
    <x v="1"/>
    <d v="2018-04-09T00:00:00"/>
    <x v="50"/>
    <s v="Mankato"/>
    <s v="Blue Earth"/>
    <s v="MN"/>
    <s v="Johnson Outdoors plans a $10 million 88,000 sq-ft addition to its manufacturing plant on the city's east side. More than $500,000 in tax increment financing will cover soil corrections at the site. The project consolidates operations at the Power Drive plant built in 2006 with workers relocating there from Mankato. The expansion will add six jobs..Johnson Outdoors manufactures trolling motors, canoes and kayaks, and other outdoor recreation gear. Parent company is based in Racine WI"/>
    <s v="MF"/>
    <n v="10000000"/>
    <n v="6"/>
    <x v="0"/>
    <n v="88000"/>
    <x v="20"/>
    <x v="1"/>
    <s v="https://www.mankatofreepress.com/news/local_news/city-approves-subsidy-for-johnson-outdoors-expansion/article_81cff9fc-3c37-11e8-897c-abe26c4bc31f.amp.html"/>
    <s v="Mankato Free Press"/>
    <s v="121 Power Dr,"/>
    <n v="56001"/>
    <n v="44.178111000000001"/>
    <n v="-93.937267000000006"/>
    <s v="Government"/>
    <s v="TIF"/>
    <n v="559000"/>
    <m/>
    <m/>
    <m/>
    <m/>
    <m/>
    <s v="South"/>
    <x v="0"/>
  </r>
  <r>
    <x v="1"/>
    <d v="2018-04-09T00:00:00"/>
    <x v="51"/>
    <s v="Albert Lea"/>
    <s v="Freeborn"/>
    <s v="MN"/>
    <s v="JCF Award $175,000. The Albert Lea City Council supported a proposal by Mortarr LLC to develop the former Freeborn National Bank and Jacobsen Apartments buildings, which could bring three dozen jobs to the community in the next 15 months. Mortarr LLC is a software startup company established in July 2017 and is undergoing final beta testing and is expected to go live this summer. Phase 1 construction will accommodate about 35 workstations, 2 conference rooms, and other amenities. $175K JCF"/>
    <s v="Headquarters; Manufacturing"/>
    <n v="370116"/>
    <n v="34"/>
    <x v="0"/>
    <m/>
    <x v="0"/>
    <x v="11"/>
    <s v="https://m.albertleatribune.com/2018/04/council-voices-support-of-bank-building-proposal/"/>
    <m/>
    <s v="137 S Broadway Ave"/>
    <n v="56007"/>
    <n v="43.649163999999999"/>
    <n v="-93.368564000000006"/>
    <s v="Government Financing"/>
    <m/>
    <m/>
    <m/>
    <m/>
    <m/>
    <m/>
    <m/>
    <s v="South"/>
    <x v="0"/>
  </r>
  <r>
    <x v="1"/>
    <d v="2018-04-11T00:00:00"/>
    <x v="52"/>
    <s v="Minneapolis"/>
    <s v="Hennepin"/>
    <s v="MN"/>
    <s v="Bold Orange is roughly three months old, but already needs more office space to handle its growth. The company, which focuses on customer-relationship management for companies in the retail, hospitality, health care and financial services industries, is moving to Washington Square in Minneapolis, where it signed a lease for 5,000 square feet, according to CEO Margaret Murphy. That's up from the 1,000 square feet the company had in International Market Square."/>
    <s v="Headquarters; Office (Non-HQ)"/>
    <m/>
    <n v="11"/>
    <x v="0"/>
    <n v="4000"/>
    <x v="21"/>
    <x v="4"/>
    <s v="https://www.bizjournals.com/twincities/news/2018/04/11/bold-orange-moving-to-bigger-office-space.html"/>
    <m/>
    <s v="100 Washington Ave S Ste 750"/>
    <n v="55401"/>
    <n v="44.981085"/>
    <n v="-93.265673000000007"/>
    <m/>
    <m/>
    <m/>
    <m/>
    <m/>
    <m/>
    <m/>
    <m/>
    <s v="Metro"/>
    <x v="0"/>
  </r>
  <r>
    <x v="1"/>
    <d v="2018-04-11T00:00:00"/>
    <x v="53"/>
    <s v="Big Lake"/>
    <s v="Sherburne"/>
    <s v="MN"/>
    <s v="Cargill Inc. will invest $20 million at its egg-processing facility in Big Lake, Minn., and will double its purchases of eggs from regional farms, as the agribusiness giant reacts to rising demand for the food. The Big Lake, Minn., plant makes an array of egg products, from precooked patties to frittatas. When the expansion is complete in January (2019), twice as many eggs, about 170 million, will be purchased from area farms and processed at the facility."/>
    <s v="Manufacturing"/>
    <n v="20000000"/>
    <n v="12"/>
    <x v="0"/>
    <m/>
    <x v="1"/>
    <x v="1"/>
    <s v="https://www.bizjournals.com/twincities/news/2018/04/11/cargill-invests-20-million-in-big-lake-egg-plant.html?ana=e_me_set3&amp;s=newsletter&amp;ed=2018-04-11&amp;u=j485DLST5cwThp2Xmbm3Zw0bb183ab&amp;t=1523455103&amp;j=80964081"/>
    <m/>
    <s v="20021 176th St NW"/>
    <n v="55309"/>
    <n v="45.333427"/>
    <n v="-93.715720000000005"/>
    <m/>
    <m/>
    <m/>
    <m/>
    <s v="Cargill Kitchen Solutions Incs"/>
    <s v="Monticello"/>
    <s v="MN"/>
    <m/>
    <s v="Central"/>
    <x v="0"/>
  </r>
  <r>
    <x v="1"/>
    <d v="2018-04-11T00:00:00"/>
    <x v="54"/>
    <s v="Norwood Young America"/>
    <s v="Carver"/>
    <s v="MN"/>
    <s v="Holiday décor manufacturer and distributor Vickerman Co. will invest $6.9 million and create 11 jobs in an expansion of its storage and distribution center in Norwood Young America. It currently has 140,000 square feet for manufacturing, storage and shipping, and the new facility will add on another 118,000 square feet, part of a consolidation of space currently spread across four sites nationally. The new jobs will be created within two years and pay wages averaging $16.36 an hour. JCF $110,000"/>
    <s v="Headquarters; Manufacturing; Warehouse; Distribution Center"/>
    <n v="6900000"/>
    <n v="11"/>
    <x v="0"/>
    <n v="122000"/>
    <x v="0"/>
    <x v="10"/>
    <s v="https://mn.gov/deed/newscenter/press-releases/#/detail/appId/1/id/337927 AND http://www.greystoneconstruction.com/about/events-news/news/vickerman-company-warehouse-expansion-begins.html"/>
    <m/>
    <s v="675 Tacoma Blvd"/>
    <n v="55368"/>
    <n v="44.765042000000001"/>
    <n v="-93.914631"/>
    <s v="Government Financing"/>
    <m/>
    <m/>
    <m/>
    <m/>
    <m/>
    <m/>
    <m/>
    <s v="Metro"/>
    <x v="0"/>
  </r>
  <r>
    <x v="1"/>
    <d v="2018-04-11T00:00:00"/>
    <x v="55"/>
    <s v="Maplewood"/>
    <s v="Ramsey"/>
    <s v="MN"/>
    <s v="Yeadon Fabric Domes to build new headquarters in St. Paul. Yeadon Fabric Domes makes giant domes for athletic fields. Yeadon will move its headquarters this year from Minneapolis to St. Paul. The facility will be 49,000 square feet, with another 6,000 square feet of attached office space, for a total of 55,000 SF. It will be built at East Seventh Street and Forest Street in St. Paul. The new facility will allow increased production by 50 percent. Currently employs 43, add 80 over 10 years."/>
    <s v="Office (Non-HQ); Distribution Center"/>
    <m/>
    <n v="80"/>
    <x v="0"/>
    <n v="55000"/>
    <x v="0"/>
    <x v="11"/>
    <s v="http://bit.ly/2HbcmTA"/>
    <m/>
    <s v="2475 Maplewood Dr Ste 114"/>
    <n v="55109"/>
    <n v="45.016440000000003"/>
    <n v="-93.053325999999998"/>
    <m/>
    <m/>
    <m/>
    <m/>
    <m/>
    <m/>
    <m/>
    <m/>
    <s v="Metro"/>
    <x v="0"/>
  </r>
  <r>
    <x v="2"/>
    <d v="2018-04-11T00:00:00"/>
    <x v="56"/>
    <s v="St. Cloud"/>
    <s v="Sherburne"/>
    <s v="MN"/>
    <s v="New Flyer of America is a larger company, with about 700 employees at their St. Cloud location, they will be looking to add 340 more workers over the next three years. Received $350K MJSP"/>
    <s v="Manufacturing"/>
    <m/>
    <n v="340"/>
    <x v="0"/>
    <m/>
    <x v="22"/>
    <x v="1"/>
    <s v="http://wjon.com/state-grants-to-create-400-new-jobs-in-st-cloud/"/>
    <m/>
    <s v="6200 Glenn Carlson Dr"/>
    <n v="56301"/>
    <n v="45.466098799999997"/>
    <n v="-94.122596700000003"/>
    <s v="Government Financing"/>
    <m/>
    <m/>
    <s v="y"/>
    <s v="New Flyer Industries Limited"/>
    <s v="Winnipeg"/>
    <s v="MB"/>
    <s v="CANADA"/>
    <s v="Metro"/>
    <x v="0"/>
  </r>
  <r>
    <x v="1"/>
    <d v="2018-04-13T00:00:00"/>
    <x v="57"/>
    <s v="Wanamingo"/>
    <s v="Goodhue"/>
    <s v="MN"/>
    <s v="Wanamingo to aid Maple Island in warehouse expansion which would add 20,000 SF. The expansion would cost between $675,000-$900,000. Maple Island is requesting $450,000 loan through MIF as well as reaching out to other financing sources. Maple Island plans to hire 20 new employees right away for an additional shift on the new (2nd) production line. In the near future there could be 10-20 new jobs created by adding a third production line for pouching."/>
    <s v="Office (Non-HQ); Manufacturing"/>
    <n v="900000"/>
    <n v="40"/>
    <x v="0"/>
    <n v="20000"/>
    <x v="1"/>
    <x v="1"/>
    <s v="http://www.southernminn.com/the_kenyon_leader/news/article_127c5d61-af5b-5ea7-b35e-64a4b9f37617.html"/>
    <m/>
    <s v="25 N Main"/>
    <n v="55983"/>
    <n v="44.308435000000003"/>
    <n v="-92.790807999999998"/>
    <m/>
    <m/>
    <m/>
    <m/>
    <s v="Maple Island Inc"/>
    <s v="North St Paul"/>
    <s v="MN"/>
    <m/>
    <s v="South"/>
    <x v="0"/>
  </r>
  <r>
    <x v="1"/>
    <d v="2018-04-13T00:00:00"/>
    <x v="58"/>
    <s v="Minneapolis"/>
    <s v="Hennepin"/>
    <s v="MN"/>
    <s v="Preston Kelly, an advertising and public relations firm, has landed four agency-of-record contracts since last summer and has announced eight hires, in part to keep with the increased workload. The most notable of the new clients is Minneapolis-based UCare, a nonprofit that provides health coverage and services to Minnesotans statewide."/>
    <s v="Headquarters"/>
    <m/>
    <n v="8"/>
    <x v="0"/>
    <m/>
    <x v="21"/>
    <x v="4"/>
    <s v="http://bit.ly/2qEGuxi "/>
    <m/>
    <s v="222 1st Ave NE"/>
    <n v="55413"/>
    <n v="44.988520000000001"/>
    <n v="-93.258133000000001"/>
    <m/>
    <m/>
    <m/>
    <m/>
    <m/>
    <m/>
    <m/>
    <m/>
    <s v="Metro"/>
    <x v="0"/>
  </r>
  <r>
    <x v="1"/>
    <d v="2018-04-24T00:00:00"/>
    <x v="59"/>
    <s v="Minneapolis"/>
    <s v="Hennepin"/>
    <s v="MN"/>
    <s v="Bellisio Foods has opened up its space to make it roomier for employees at its Minneapolis office. An expansion, finished in March, makes the space 16,000 square feet. Designers cut a corridor from an existing office into an adjoining vacant space at 1201 Harmon Place to allow the company to add staff to its sales and marketing departments."/>
    <s v="Headquarters"/>
    <m/>
    <m/>
    <x v="0"/>
    <m/>
    <x v="1"/>
    <x v="1"/>
    <s v="https://www.bizjournals.com/twincities/news/2018/04/24/cool-offices-bellisio-foods-expansion-melds.html"/>
    <m/>
    <s v="1201 Harmon Pl"/>
    <n v="55403"/>
    <n v="44.973196999999999"/>
    <n v="-93.279573999999997"/>
    <m/>
    <m/>
    <m/>
    <s v="y"/>
    <s v="Charoen Pokphand foods"/>
    <s v="Bangkok"/>
    <m/>
    <s v="Thailand"/>
    <s v="Metro"/>
    <x v="0"/>
  </r>
  <r>
    <x v="1"/>
    <d v="2018-04-30T00:00:00"/>
    <x v="60"/>
    <s v="Minneapolis"/>
    <s v="Hennepin"/>
    <s v="MN"/>
    <s v="Amazon.com Inc. is acknowledging for the first time that it's getting a lot bigger in Minneapolis. Amazon will hire an additional 200 transportation technology specialists, cloud computing engineers and IT workers for the space, located in the T3 building at 323 N. Washington Ave. 150 workers are there now. It has been drawn to the Twin Cities because of its tech expertise, especially in the areas of transportation and logistics."/>
    <s v="Office (Non-HQ)"/>
    <m/>
    <n v="200"/>
    <x v="0"/>
    <m/>
    <x v="0"/>
    <x v="8"/>
    <s v="https://www.bizjournals.com/twincities/news/2018/04/30/amazon-says-itll-hire-200-for-minneapolis-tech.html?ana=e_me_set1&amp;s=newsletter&amp;ed=2018-04-30&amp;u=j485DLST5cwThp2Xmbm3Zw0bb183ab&amp;t=1525094524&amp;j=81298411"/>
    <m/>
    <s v="100 South Fifth St"/>
    <n v="55402"/>
    <n v="44.978382000000003"/>
    <n v="-93.269256999999996"/>
    <m/>
    <m/>
    <m/>
    <m/>
    <s v="Amazon"/>
    <s v="Seatle"/>
    <s v="WA"/>
    <m/>
    <s v="Metro"/>
    <x v="0"/>
  </r>
  <r>
    <x v="1"/>
    <d v="2018-05-01T00:00:00"/>
    <x v="61"/>
    <s v="Eden Prairie"/>
    <s v="Hennepin"/>
    <s v="MN"/>
    <s v="Logic PD, a contract electronics manufacturer, will receive up to $675,000 through the Minnesota Apprenticeship Initiative. Logic PD is based at 6201 Bury Drive in Eden Prairie. The money will support training for 135 apprentices in fields such as complex soldering and machine operation. The company has 326 employees. Apprentices will spend 18 months working and receiving instruction on the job. The apprentices will be a mix of current and new workers."/>
    <s v="Headquarters; Manufacturing"/>
    <m/>
    <m/>
    <x v="0"/>
    <m/>
    <x v="23"/>
    <x v="1"/>
    <s v="http://bit.ly/2JK5VEG "/>
    <m/>
    <s v="6201 Bury Dr"/>
    <n v="55346"/>
    <n v="44.891139000000003"/>
    <n v="-93.451031999999998"/>
    <m/>
    <m/>
    <m/>
    <m/>
    <m/>
    <m/>
    <m/>
    <m/>
    <s v="Metro"/>
    <x v="0"/>
  </r>
  <r>
    <x v="1"/>
    <d v="2018-05-03T00:00:00"/>
    <x v="62"/>
    <s v="St Paul"/>
    <s v="Ramsey"/>
    <s v="MN"/>
    <s v="A St. Paul nursing home is planning a major renovation project to keep up with the fast-growing senior housing market.Work is expected to begin in June. The comprehensive renovation plans include larger, more accessible resident bathrooms, updated dining rooms and kitchens, new flooring and ceiling tile, improved lighting and new windows. The overall cost of the project will come to about $9 million, including $8 million in construction costs to be financed by 25 yr conduit revenue bonds"/>
    <s v="Other"/>
    <n v="9000000"/>
    <m/>
    <x v="0"/>
    <m/>
    <x v="0"/>
    <x v="0"/>
    <s v="https://finance-commerce.com/2018/05/lyngblomsten-to-rehab-st-paul-nursing-home/"/>
    <m/>
    <s v="1415 Almond Ave"/>
    <n v="55108"/>
    <n v="44.979356000000003"/>
    <n v="-93.160229000000001"/>
    <m/>
    <m/>
    <m/>
    <m/>
    <m/>
    <m/>
    <m/>
    <m/>
    <s v="Metro"/>
    <x v="0"/>
  </r>
  <r>
    <x v="1"/>
    <d v="2018-05-08T00:00:00"/>
    <x v="63"/>
    <s v="Minneapolis"/>
    <s v="Hennepin"/>
    <s v="MN"/>
    <s v="Minnesota's first Latino-inspired beer company will soon have a physical cervecería and taproom to call home. La Doña Cervecería founder Sergio Manancero, son of Uruguayan immigrants, former Marine, and University of Minnesota alum, plans to build a brewery and taproom for his company, which started producing a line of Latino-influenced beers in 2016 under a contract brewing arrangement with Sand Creek Brewing in Wisconsin. La Doña will occupy a 10,000-SF warehouse space."/>
    <s v="Headquarters; Manufacturing"/>
    <m/>
    <m/>
    <x v="0"/>
    <n v="10000"/>
    <x v="1"/>
    <x v="1"/>
    <s v="https://growlermag.com/minnesotas-first-latino-owned-beer-company-to-open-its-cerveceria-and-taproom-this-summer/"/>
    <m/>
    <s v="241 Fremont Ave N"/>
    <n v="55405"/>
    <n v="44.979584000000003"/>
    <n v="-93.296115"/>
    <m/>
    <m/>
    <m/>
    <m/>
    <m/>
    <m/>
    <m/>
    <m/>
    <s v="Metro"/>
    <x v="0"/>
  </r>
  <r>
    <x v="1"/>
    <d v="2018-05-10T00:00:00"/>
    <x v="64"/>
    <s v="Minneapolis"/>
    <s v="Hennepin"/>
    <s v="MN"/>
    <s v="Fairview Health Services will invest $112 million in renovations to the University of Minnesota Medical Center. The project calls for increasing capacity at the east bank hospital's emergency department, including construction of a 7,000-square-foot addition. The project will also include significant renovations to operating rooms. Fairview will start work on the renovations in the coming weeks and construction will wrap up in October 2020."/>
    <s v="Healthcare Facility"/>
    <n v="112000000"/>
    <m/>
    <x v="0"/>
    <n v="7000"/>
    <x v="0"/>
    <x v="0"/>
    <s v="https://www.bizjournals.com/twincities/news/2018/05/10/fairview-to-make-112m-investment-in-university-of.html"/>
    <m/>
    <s v="500 Harvard St SE"/>
    <n v="55414"/>
    <n v="44.970953999999999"/>
    <n v="-93.231361000000007"/>
    <m/>
    <m/>
    <m/>
    <m/>
    <s v="Fairview Health Systems"/>
    <s v="Minneapolis"/>
    <s v="MN"/>
    <m/>
    <s v="Metro"/>
    <x v="0"/>
  </r>
  <r>
    <x v="1"/>
    <d v="2018-05-11T00:00:00"/>
    <x v="65"/>
    <s v="Faribault"/>
    <s v="Rice"/>
    <s v="MN"/>
    <s v="It's an expensive proposition to make grain to glass spirits when just starting a distillery business, but for the founders of 10,000 Drops Craft Distillers, hope to open soon in downtown Faribault. With a whopping five floors, their building offers lots of space for barrel storage and plenty of room for growth of the business. They have had to do quite the overhaul, renovating the building to get it up to code, but also working to create a unique ambiance to reflect the 10,000 Drops brand."/>
    <s v="Headquarters; Manufacturing"/>
    <m/>
    <m/>
    <x v="0"/>
    <m/>
    <x v="1"/>
    <x v="1"/>
    <s v="https://growlermag.com/now-open-or-damn-close-10000-drops-craft-distillers/"/>
    <m/>
    <s v="28 Fourth St NE"/>
    <n v="55021"/>
    <n v="44.294964"/>
    <n v="-93.267032999999998"/>
    <m/>
    <m/>
    <m/>
    <m/>
    <m/>
    <m/>
    <m/>
    <m/>
    <s v="South"/>
    <x v="0"/>
  </r>
  <r>
    <x v="1"/>
    <d v="2018-05-15T00:00:00"/>
    <x v="66"/>
    <s v="Litchfield"/>
    <s v="Meeker"/>
    <s v="MN"/>
    <s v="IRD Glass is proud to announce that we had our first $1m month this March! We've been in business for 35 years, since 1983, and business is really booming. Through the first five months of 2018 we have been on a hiring tear, bringing 24 people into the IRD family, including 2 new engineers."/>
    <s v="Manufacturing"/>
    <m/>
    <n v="24"/>
    <x v="0"/>
    <m/>
    <x v="6"/>
    <x v="1"/>
    <s v="https://www.irdglass.com/news/hiring-spree/"/>
    <m/>
    <s v="810 E St Paul St"/>
    <n v="55324"/>
    <n v="45.095692"/>
    <n v="-94.408210999999994"/>
    <m/>
    <m/>
    <m/>
    <m/>
    <m/>
    <m/>
    <m/>
    <m/>
    <s v="Central"/>
    <x v="0"/>
  </r>
  <r>
    <x v="1"/>
    <d v="2018-05-16T00:00:00"/>
    <x v="67"/>
    <s v="Northfield"/>
    <s v="Rice"/>
    <s v="MN"/>
    <s v="Loon Liquors, a Northfield craft distillery, will quadruple its production starting in June to keep up with the growth in sales. It will begin producing 4,000 bottles/mo of its whiskey, gin, vodka and other spirits, an increase from the 1,000 bottles/mo. Owners and founders Mark Schiller and Simeon Rossi have invested $300,000 in new distilling and brewing equipment. Last month, Loon Liquors began leasing more space. April 2017: got a $50,000 grant from the Minnesota Dept of Agriculture"/>
    <s v="Headquarters; Manufacturing"/>
    <n v="300000"/>
    <n v="2"/>
    <x v="0"/>
    <n v="1000"/>
    <x v="1"/>
    <x v="1"/>
    <s v="https://www.bizjournals.com/twincities/news/2018/05/16/loon-liquors-quadrupling-production-capacity-for.html"/>
    <m/>
    <s v="1325 Armstrong Rd Ste 165"/>
    <n v="55057"/>
    <n v="44.450816000000003"/>
    <n v="-93.179896999999997"/>
    <m/>
    <m/>
    <m/>
    <m/>
    <m/>
    <m/>
    <m/>
    <m/>
    <s v="South"/>
    <x v="0"/>
  </r>
  <r>
    <x v="1"/>
    <d v="2018-05-17T00:00:00"/>
    <x v="68"/>
    <s v="Faribault"/>
    <s v="Rice"/>
    <s v="MN"/>
    <s v="HVAC systems manufacturer Daikin Applied is in the process of buying a new 300,000-square-foot facility in Faribault where it will hire more than 200 people next year. The company's North American headquarters is in Plymouth, but it already has two plants in Faribault (530 people) and Owatonna (370 people). The new facility will make commercial air-handling units.Operations at the new facility are expected to begin mid-2019. JCF application: $40.3 million investment. JCF award $1,633,500. BDPI $2M (2021)"/>
    <s v="Manufacturing"/>
    <n v="40300000"/>
    <n v="200"/>
    <x v="0"/>
    <m/>
    <x v="4"/>
    <x v="1"/>
    <s v="https://www.bizjournals.com/twincities/news/2018/05/17/plymouth-based-hvac-systems-maker-adding-more-than.html"/>
    <m/>
    <s v="105 Prairie Ave SW"/>
    <n v="55021"/>
    <n v="44.289045000000002"/>
    <n v="-93.287548999999999"/>
    <m/>
    <m/>
    <m/>
    <s v="y"/>
    <s v="Daikin Applied Americas Inc"/>
    <s v="Plymouth"/>
    <s v="MN"/>
    <m/>
    <s v="South"/>
    <x v="0"/>
  </r>
  <r>
    <x v="1"/>
    <d v="2018-05-22T00:00:00"/>
    <x v="69"/>
    <s v="Faribault"/>
    <s v="Dakota"/>
    <s v="MN"/>
    <s v="SteinAir needs to expand their facilities in order to meet their current production needs. An airport location is critical for their ability to grow. SteinAir is proposing relocating their entire business operations to the Faribault Municipal Airport. The proposed project includes the construction of a 16,000-18,000 SF hangar/manufacturing facility, an investment of $1.5 million and the creation of 8 new jobs (as well as relocating 17 existing FT jobs). JCF $120,000. Also Faribault EDA $100,000"/>
    <s v="Headquarters"/>
    <n v="1500000"/>
    <n v="8"/>
    <x v="0"/>
    <n v="18000"/>
    <x v="0"/>
    <x v="3"/>
    <s v="http://www.ci.faribault.mn.us/AgendaCenter/ViewFile/ArchivedAgenda/_05222018-1732?packet=true"/>
    <m/>
    <s v="21170 Eaton Ave"/>
    <n v="55024"/>
    <n v="44.642856000000002"/>
    <n v="-93.167330000000007"/>
    <m/>
    <m/>
    <m/>
    <m/>
    <m/>
    <m/>
    <m/>
    <m/>
    <s v="Metro"/>
    <x v="0"/>
  </r>
  <r>
    <x v="1"/>
    <d v="2018-05-23T00:00:00"/>
    <x v="70"/>
    <s v="Bayport"/>
    <s v="Washington"/>
    <s v="MN"/>
    <s v="Andersen Corp. on Thursday began a $40 million expansion of a factory at its Bayport, Minn., headquarters. The expansion will add about 60,000 square feet to an existing warehouse and 40 new workers to run the facility. The new factory will open next year and will make Fibrex wood-fiber materials, which are already made at the campus. It'll also free up space at another factory in North Branch."/>
    <s v="Headquarters; Manufacturing; Research &amp; Dev; Distribution Center"/>
    <n v="40000000"/>
    <n v="40"/>
    <x v="0"/>
    <n v="60000"/>
    <x v="24"/>
    <x v="1"/>
    <s v="https://www.bizjournals.com/twincities/news/2018/05/25/andersen-launches-40-million-factory-expansion.html"/>
    <m/>
    <s v="100 Fourth Ave N"/>
    <n v="55003"/>
    <n v="45.021036000000002"/>
    <n v="-92.779168999999996"/>
    <m/>
    <m/>
    <m/>
    <m/>
    <m/>
    <m/>
    <m/>
    <m/>
    <s v="Metro"/>
    <x v="0"/>
  </r>
  <r>
    <x v="1"/>
    <d v="2018-05-23T00:00:00"/>
    <x v="71"/>
    <s v="Litchfield"/>
    <s v="Meeker"/>
    <s v="MN"/>
    <s v="&quot;We've got plans to add 18 new employees in 2018 so my Recruiting strengths are getting put to use! Referrals always appreciated and if ya want a tour, happy to walk you through the place anytime. We?re hiring full-time for 18+ year olds for the summer, and full-time permanent employees both 1st and 2nd Shift.&quot;"/>
    <s v="Manufacturing"/>
    <m/>
    <n v="18"/>
    <x v="0"/>
    <m/>
    <x v="4"/>
    <x v="1"/>
    <m/>
    <m/>
    <s v="520 Polydome Dr"/>
    <n v="55355"/>
    <n v="45.120313000000003"/>
    <n v="-94.527285599999999"/>
    <m/>
    <m/>
    <m/>
    <m/>
    <s v="Doosan Bobcat"/>
    <s v="West Fargo"/>
    <s v="ND"/>
    <m/>
    <s v="Central"/>
    <x v="0"/>
  </r>
  <r>
    <x v="1"/>
    <d v="2018-05-23T00:00:00"/>
    <x v="72"/>
    <s v="Shakopee"/>
    <s v="Scott"/>
    <s v="MN"/>
    <s v="As Finance &amp; Commerce reported in 2016, Northland paid $4.125 million for a 35K sq-ft industrial warehouse and 21.7 acres of land at 1109 Stagecoach Road, in Shakopee. Northland Concrete &amp; Masonry Co. moved this spring (2018) to its new building, a 90,000-square-foot building at 1125 Stagecoach Road in Shakopee. Northland President Doug Schieffer said he had looked for a building for the growing company. He is using 75K square feet and leasing out about 15K SF and the original 35K warehouse."/>
    <s v="Headquarters; Other"/>
    <m/>
    <m/>
    <x v="0"/>
    <n v="90000"/>
    <x v="0"/>
    <x v="11"/>
    <s v="https://finance-commerce.com/2018/05/just-sold-metering-company-buys-burnsville-hq/ AND https://finance-commerce.com/2016/09/just-sold-northland-concrete-pays-4-1m-for-shakopee-site/"/>
    <m/>
    <s v="1125 Stagecoach Road"/>
    <n v="55379"/>
    <n v="44.786062999999999"/>
    <n v="-93.409726000000006"/>
    <m/>
    <m/>
    <m/>
    <m/>
    <m/>
    <m/>
    <m/>
    <m/>
    <s v="Metro"/>
    <x v="0"/>
  </r>
  <r>
    <x v="1"/>
    <d v="2018-05-24T00:00:00"/>
    <x v="73"/>
    <s v="Duluth"/>
    <s v="St Louis"/>
    <s v="MN"/>
    <s v="Essentia Health says it will spend $675 million on the work, becoming Minnesota's biggest medical construction project: building new St. Mary's hospital, clinic and outpatient center. The project &quot;Vision Northland&quot; will replace buildings on its downtown campus and make other renovations over the next four years. Overall, Essentia Health aims to build 800,000 square feet of new facilities and renovate 114,000 SF of existing facilities. (Much larger, more detail than 12/2017 announcement). Update July 2023: Grand opening of $900M hospital facility."/>
    <s v="Healthcare Facility"/>
    <n v="675000000"/>
    <m/>
    <x v="0"/>
    <n v="800000"/>
    <x v="0"/>
    <x v="0"/>
    <s v="http://www.startribune.com/duluth-s-essentia-health-will-build-new-st-mary-s-hospital-clinic-outpatient-center/483596881/"/>
    <m/>
    <s v="407 E 3rd St"/>
    <n v="55805"/>
    <n v="46.79316"/>
    <n v="-92.096483000000006"/>
    <m/>
    <m/>
    <m/>
    <m/>
    <s v="Essentia Health"/>
    <s v="Proctor"/>
    <s v="MN"/>
    <m/>
    <s v="North"/>
    <x v="0"/>
  </r>
  <r>
    <x v="1"/>
    <d v="2018-05-25T00:00:00"/>
    <x v="74"/>
    <s v="Winona"/>
    <s v="Winona"/>
    <s v="MN"/>
    <s v="Fastenal Co. announced plans to build a new office complex in downtown Winona, with room for potentially hundreds of employees. Dan Florness, president and CEO of Fastenal Co., said the company will start construction in 2019 on a new $10 million, 90,000-sq-ft downtown office building, with a capacity for 400-600 workers. Fastenal's current HQ are just north of downtown and will move some operations over several years to downtown. 10/2018 update: 70 new jobs, city redev grant, 120K SF"/>
    <s v="Headquarters"/>
    <n v="10000000"/>
    <m/>
    <x v="0"/>
    <n v="120000"/>
    <x v="0"/>
    <x v="10"/>
    <s v="https://www.bizjournals.com/twincities/news/2018/05/25/fastenal-will-build-new-office-complex-near-home.html AND https://finance-commerce.com/2018/06/how-fastenal-hq-deal-came-together-in-winona/"/>
    <m/>
    <s v="2001 Theurer Blvd"/>
    <n v="55987"/>
    <n v="44.062095999999997"/>
    <n v="-91.683554999999998"/>
    <s v="Government Financing"/>
    <m/>
    <m/>
    <m/>
    <m/>
    <m/>
    <m/>
    <m/>
    <s v="South"/>
    <x v="0"/>
  </r>
  <r>
    <x v="1"/>
    <d v="2018-05-29T00:00:00"/>
    <x v="75"/>
    <s v="Duluth"/>
    <s v="St Louis"/>
    <s v="MN"/>
    <s v="Lake Superior Brewing Co. is expanding its production and its reach in the Twin Cities and beyond. Co-owner Lars Kuehnow said the brewery is buying its own canning equipment soon, with the hopes of installing it this summer. He doesn't know exactly how much it will cost but said it would likely range from $50,000 to $150,000."/>
    <s v="Headquarters; Manufacturing"/>
    <n v="150000"/>
    <m/>
    <x v="0"/>
    <m/>
    <x v="1"/>
    <x v="1"/>
    <s v="https://www.bizjournals.com/twincities/news/2018/05/29/lake-superior-brewing-co-expands-production-begins.html"/>
    <m/>
    <s v="2711 W Superior St Ste 204"/>
    <n v="55806"/>
    <n v="46.761218999999997"/>
    <n v="-92.133179999999996"/>
    <m/>
    <m/>
    <m/>
    <m/>
    <m/>
    <m/>
    <m/>
    <m/>
    <s v="North"/>
    <x v="0"/>
  </r>
  <r>
    <x v="1"/>
    <d v="2018-05-30T00:00:00"/>
    <x v="76"/>
    <s v="St Paul"/>
    <s v="Ramsey"/>
    <s v="MN"/>
    <s v="Gov. Mark Dayton has signed a bill that allows HealthPartners Inc. to move ahead with a 55-bed expansion of Regions Hospital in St. Paul. The plan, approved by lawmakers earlier this month, is a scaled-back version of an earlier proposal that called for a 100-bed expansion. Bloomington-based HealthPartners said it needed licenses for those beds to meet rising demand for services. HealthPartners said its initial proposal would create about 950 jobs but those estimates had not yet been revised."/>
    <s v="Healthcare Facility"/>
    <m/>
    <m/>
    <x v="0"/>
    <m/>
    <x v="0"/>
    <x v="0"/>
    <s v="http://bit.ly/2J2d2bz"/>
    <m/>
    <s v="640 Jackson St"/>
    <n v="55101"/>
    <n v="44.955382999999998"/>
    <n v="-93.095797000000005"/>
    <m/>
    <m/>
    <m/>
    <m/>
    <s v="HealthPartners Inc"/>
    <s v="Bloomington"/>
    <s v="MN"/>
    <m/>
    <s v="Metro"/>
    <x v="0"/>
  </r>
  <r>
    <x v="1"/>
    <d v="2018-06-05T00:00:00"/>
    <x v="77"/>
    <s v="St Paul"/>
    <s v="Ramsey"/>
    <s v="MN"/>
    <s v="Structural, a software startup led by tech veterans Scott Burns and Chip House, has closed on $2.5 million to fund growth efforts, the company announced Tuesday. The company plans to put its recently won toward ramping up growth and will add a handful of jobs over the next year, Burns said. The startup has 10 employees in St. Paul and four in Indianapolis. Including the most recent round of funding, Structural has raised $5 million."/>
    <s v="Headquarters"/>
    <m/>
    <n v="5"/>
    <x v="0"/>
    <m/>
    <x v="25"/>
    <x v="9"/>
    <s v="https://www.bizjournals.com/twincities/news/2018/06/05/structural-raises-2-5-million.html"/>
    <m/>
    <s v="370 Wabasha St N"/>
    <n v="55102"/>
    <n v="44.946398000000002"/>
    <n v="-93.093676000000002"/>
    <s v="Venture Capital"/>
    <m/>
    <m/>
    <m/>
    <m/>
    <m/>
    <m/>
    <m/>
    <s v="Central"/>
    <x v="0"/>
  </r>
  <r>
    <x v="1"/>
    <d v="2018-06-07T00:00:00"/>
    <x v="78"/>
    <s v="Bloomington"/>
    <s v="Hennepin"/>
    <s v="MN"/>
    <s v="&quot;Tech company Sopheon, which makes software that big companies like Hormel Foods Corp. and Land O' Lakes use to manage research and development efforts, will ramp up hiring in the Twin Cities after coming off a year of strong sales growth. Sopheon CEO Andy Michuda is based in Bloomington, where the company employs between 15 and 20 workers. Sopheon plans to add about a dozen employees in the Twin Cities over the next year as the business continues to grow, Michuda said."/>
    <s v="Headquarters"/>
    <m/>
    <n v="12"/>
    <x v="0"/>
    <m/>
    <x v="25"/>
    <x v="9"/>
    <s v="https://www.bizjournals.com/twincities/news/2018/06/07/with-big-name-customers-r-d-software-firm-to.html"/>
    <m/>
    <s v="3050 Metro Dr #200"/>
    <n v="55425"/>
    <n v="44.860560999999997"/>
    <n v="-93.227895000000004"/>
    <m/>
    <m/>
    <m/>
    <m/>
    <m/>
    <m/>
    <m/>
    <m/>
    <s v="Metro"/>
    <x v="0"/>
  </r>
  <r>
    <x v="0"/>
    <d v="2018-06-11T00:00:00"/>
    <x v="79"/>
    <s v="Burnsville"/>
    <s v="Dakota"/>
    <s v="MN"/>
    <s v="Park Nicollet Health Services has proposed building an 83,000-sq-ft specialty-care center near its clinic in Burnsville. Park Nicollet may add another 86,000-square-feet to building through two future additions, according to city documents. The health care provider, which is part of Bloomington-based HealthPartners Inc., would offer urgent care, orthopedic radiology and other services at the new building. Also included is an ambulatory surgery center in the development."/>
    <s v="Healthcare Facility"/>
    <m/>
    <m/>
    <x v="0"/>
    <n v="169000"/>
    <x v="0"/>
    <x v="0"/>
    <s v="https://www.bizjournals.com/twincities/news/2018/06/11/park-nicollet-pitches-new-specialty-care-center-in.html"/>
    <m/>
    <s v="14000 Fairview Dr"/>
    <n v="55337"/>
    <n v="44.748600000000003"/>
    <n v="-93.2755966"/>
    <m/>
    <m/>
    <m/>
    <m/>
    <s v="Park Nicollet Health Services"/>
    <s v="St Louis Park"/>
    <s v="MN"/>
    <m/>
    <s v="Metro"/>
    <x v="0"/>
  </r>
  <r>
    <x v="1"/>
    <d v="2018-06-11T00:00:00"/>
    <x v="80"/>
    <s v="Lakeville"/>
    <s v="Dakota"/>
    <s v="MN"/>
    <s v="Frozen food manufacturer Buddy's Kitchen Inc. wants to expand in Lakeville. The Burnsville-based company has been in talks with Lakeville city officials about a land swap, which would allow the business to complete an expansion and renovation project worth between $12 million to $15 million, according to city documents. Upon completion of that work, the business would add up to 300 new jobs over the next two years, according to city documents."/>
    <s v="Manufacturing"/>
    <n v="15000000"/>
    <n v="300"/>
    <x v="0"/>
    <m/>
    <x v="1"/>
    <x v="1"/>
    <s v="https://www.bizjournals.com/twincities/news/2018/06/08/buddys-kitchen-to-expand-operations-in-lakeville.html"/>
    <m/>
    <s v="21150 Hamburg Ave"/>
    <n v="55044"/>
    <n v="44.642831000000001"/>
    <n v="-93.226673000000005"/>
    <m/>
    <m/>
    <m/>
    <m/>
    <s v="Buddy's Kitchen Inc"/>
    <s v="Burnsville"/>
    <s v="MN"/>
    <m/>
    <s v="Metro"/>
    <x v="0"/>
  </r>
  <r>
    <x v="1"/>
    <d v="2018-06-11T00:00:00"/>
    <x v="79"/>
    <s v="St Louis Park"/>
    <s v="Hennepin"/>
    <s v="MN"/>
    <s v="Park Nicollet is also expanding near HealthPartners-owned Methodist Hospital in St. Louis Park. The care provider plans to open a specialty center at the site of the Mann Theater as part of a redevelopment of that building. Park Nicollet will occupy 16,000 square feet of that project, which is owed by Frauenshuh Inc. (Methodist Hospital itself is also undergoing a $140 million renovation and expansion.)"/>
    <s v="Healthcare Facility"/>
    <m/>
    <m/>
    <x v="0"/>
    <n v="16000"/>
    <x v="0"/>
    <x v="0"/>
    <s v="https://www.bizjournals.com/twincities/news/2018/06/11/park-nicollet-pitches-new-specialty-care-center-in.html"/>
    <m/>
    <s v="3800 Park Nicollet Blvd"/>
    <n v="55416"/>
    <n v="44.933653999999997"/>
    <n v="-93.347069000000005"/>
    <m/>
    <m/>
    <m/>
    <m/>
    <s v="Park Nicollet Health Services"/>
    <s v="St Louis Park"/>
    <s v="MN"/>
    <m/>
    <s v="Metro"/>
    <x v="0"/>
  </r>
  <r>
    <x v="1"/>
    <d v="2018-06-13T00:00:00"/>
    <x v="81"/>
    <s v="Roseville"/>
    <s v="Ramsey"/>
    <s v="MN"/>
    <s v="Crown Iron Works, a global manufacturer of equipment for the oilseed processing industry, plans new world HQ in Blaine. Crown plans to move 102 jobs paying an average of more than $90,000 a year from Roseville to Blaine. The 102 jobs will move from the Roseville location, which will close, and Crown projects 23 jobs could be created with the relocation. The new facility would be at 9859 and 1979 Naples St. NE: a 61,740-sq-ft main building and two outbuildings, for a total of 67000+ SF"/>
    <s v="Headquarters; Office (Non-HQ); Manufacturing"/>
    <n v="14000000"/>
    <n v="23"/>
    <x v="0"/>
    <n v="67000"/>
    <x v="26"/>
    <x v="1"/>
    <s v="https://finance-commerce.com/2018/06/crown-iron-works-plans-new-world-hq-in-blaine/"/>
    <m/>
    <s v="2500 W County Rd C Ste A"/>
    <n v="55113"/>
    <n v="45.006076999999998"/>
    <n v="-93.156610999999998"/>
    <m/>
    <m/>
    <m/>
    <m/>
    <m/>
    <m/>
    <m/>
    <m/>
    <s v="Metro"/>
    <x v="0"/>
  </r>
  <r>
    <x v="1"/>
    <d v="2018-06-15T00:00:00"/>
    <x v="82"/>
    <s v="Roseville"/>
    <s v="Ramsey"/>
    <s v="MN"/>
    <s v="St. Paul-based Colder Products Co. might build a $26 million world headquarters in Roseville and is pursuing nearly $3.25 million in public aid for the project.Colder is proposing to consolidate its St. Paul corporate offices and a second facility in the city into a new 150,000-square-foot building, according to the Roseville EDA. The project would rise on an 11-acre industrial site at 2814 Cleveland Ave. About 400 people would work at the facility. 10/2018 UPDATE: MIF $250K, JCF award $750K"/>
    <s v="Headquarters; Manufacturing"/>
    <n v="26656410"/>
    <n v="82"/>
    <x v="0"/>
    <n v="150000"/>
    <x v="2"/>
    <x v="1"/>
    <s v="https://finance-commerce.com/2018/06/st-pauls-colder-products-mulls-big-hq-project-in-roseville/"/>
    <m/>
    <s v="2814 Cleveland Ave"/>
    <n v="55113"/>
    <n v="45.025959999999998"/>
    <n v="-93.186132000000001"/>
    <s v="Government Financing"/>
    <m/>
    <m/>
    <m/>
    <m/>
    <m/>
    <m/>
    <m/>
    <s v="Metro"/>
    <x v="0"/>
  </r>
  <r>
    <x v="1"/>
    <d v="2018-06-18T00:00:00"/>
    <x v="83"/>
    <s v="Glenwood"/>
    <s v="Pope"/>
    <s v="MN"/>
    <s v="Clyde Machines, Inc., of Glenwood, was approved and will receive up to $100,000 Job Creation Fund award from DEED to help with capital improvements at the Glenwood-based facility that are designed to create 15 new jobs. Plans to invest a total $9.2 million into building a 100,000 square-foot production facility. The local manufacturing company will also receive a $200,000 low-interest loan for the improvements and job creation. That loan is part of a revolving local economic development loan."/>
    <s v="Headquarters; Office (Non-HQ)"/>
    <n v="9200000"/>
    <n v="15"/>
    <x v="0"/>
    <n v="100000"/>
    <x v="4"/>
    <x v="1"/>
    <s v="https://pctribune.com/2018/06/work-continued-extending-utilities-minnesota-ave/"/>
    <m/>
    <s v="1150 Hwy 55 N"/>
    <n v="56334"/>
    <n v="45.649836000000001"/>
    <n v="-95.388451099999997"/>
    <s v="Government Financing"/>
    <m/>
    <m/>
    <m/>
    <m/>
    <m/>
    <m/>
    <m/>
    <s v="Metro"/>
    <x v="0"/>
  </r>
  <r>
    <x v="1"/>
    <d v="2018-06-19T00:00:00"/>
    <x v="84"/>
    <s v="Eden Prairie"/>
    <s v="Hennepin"/>
    <s v="MN"/>
    <s v="Virginia-based health care communications company Spok is on pace to add 60 jobs at its Eden Prairie office a 45 percent expansion of its local workforce. Spok (pronounced &quot;spoke&quot;) is about halfway through its growth plan, having added more than 30 new employees since January of last year. Spok's Twin Cities presence already included 135 staff members, which makes up more than 20 percent of its approximately 600-person companywide workforce."/>
    <s v="Office (Non-HQ)"/>
    <m/>
    <n v="30"/>
    <x v="0"/>
    <m/>
    <x v="3"/>
    <x v="4"/>
    <m/>
    <m/>
    <s v="10400 Yellow Circle Dr"/>
    <n v="55343"/>
    <n v="44.893835000000003"/>
    <n v="-93.415096000000005"/>
    <m/>
    <m/>
    <m/>
    <m/>
    <m/>
    <m/>
    <m/>
    <m/>
    <s v="Metro"/>
    <x v="0"/>
  </r>
  <r>
    <x v="1"/>
    <d v="2018-06-20T00:00:00"/>
    <x v="85"/>
    <s v="Monticello"/>
    <s v="Wright"/>
    <s v="MN"/>
    <s v="Bondhus is a majority woman-owned firm that manufactures a wide range of hand tools. Bondhus Corps will invest $2.3 million into a 12,600-square foot addition, and make other site adjustments to accommodate a new product line. The plan calls for creating 15 jobs within three years at an average hourly wage of $20.69. JCF $175,300"/>
    <s v="Headquarters; Manufacturing"/>
    <n v="2300000"/>
    <n v="15"/>
    <x v="0"/>
    <n v="12600"/>
    <x v="27"/>
    <x v="1"/>
    <s v="http://tcbmag.com/news/articles/2018/june/five-small-businesses-receive-state-grants-for-job"/>
    <m/>
    <s v="1400 E Broadway"/>
    <n v="55362"/>
    <n v="45.295572"/>
    <n v="-93.773302999999999"/>
    <s v="Government Financing"/>
    <m/>
    <m/>
    <m/>
    <m/>
    <m/>
    <m/>
    <m/>
    <s v="Central"/>
    <x v="0"/>
  </r>
  <r>
    <x v="1"/>
    <d v="2018-06-20T00:00:00"/>
    <x v="86"/>
    <s v="Stewartville"/>
    <s v="Olmsted"/>
    <s v="MN"/>
    <s v="GEOTEK specializes in manufacturing fiberglass composite products including composite crossarms for the electric utility industry. For $5.8 million, Geotek plans to purchase and renovate a building near its existing facility, as well as buy production equipment for the new building. The fiberglass manufacturer expects to add 62 jobs within five years with wages averaging $16.91 per hour. JCF $175,400"/>
    <s v="Headquarters; Manufacturing"/>
    <n v="5800000"/>
    <n v="62"/>
    <x v="0"/>
    <m/>
    <x v="2"/>
    <x v="1"/>
    <s v="http://tcbmag.com/news/articles/2018/june/five-small-businesses-receive-state-grants-for-job"/>
    <m/>
    <s v="1421 2nd Ave NW"/>
    <n v="55976"/>
    <n v="43.866067999999999"/>
    <n v="-92.490588000000002"/>
    <s v="Government Financing"/>
    <m/>
    <m/>
    <m/>
    <m/>
    <m/>
    <m/>
    <m/>
    <s v="South"/>
    <x v="0"/>
  </r>
  <r>
    <x v="1"/>
    <d v="2018-06-20T00:00:00"/>
    <x v="87"/>
    <s v="Zimmerman"/>
    <s v="Sherburne"/>
    <s v="MN"/>
    <s v="This majority woman-owned manufacturing firm makes custom-designed products for the semiconductor and medical industries. A $2.4 million investment into a new 28,000 square-foot facility will create five jobs at Reliant Systems Inc., a manufacturing firm that focuses on custom-designed semiconductor and medical products. The firm's new employees will bring in an average of $26.2 per hour in pay."/>
    <s v="Headquarters; Office (Non-HQ); Manufacturing"/>
    <n v="2400000"/>
    <n v="5"/>
    <x v="0"/>
    <n v="28000"/>
    <x v="23"/>
    <x v="1"/>
    <s v="http://tcbmag.com/news/articles/2018/june/five-small-businesses-receive-state-grants-for-job; http://www.redlakenationnews.com/story/2018/06/21/business/deed-approves-job-creation-funding-for-five-businesses/72720.html"/>
    <m/>
    <s v="12641 Fremont Ave"/>
    <n v="55398"/>
    <n v="45.443401299999998"/>
    <n v="-93.589698799999994"/>
    <m/>
    <m/>
    <m/>
    <m/>
    <m/>
    <m/>
    <m/>
    <m/>
    <s v="Metro"/>
    <x v="0"/>
  </r>
  <r>
    <x v="1"/>
    <d v="2018-06-24T00:00:00"/>
    <x v="88"/>
    <s v="Minneapolis"/>
    <s v="Hennepin"/>
    <s v="MN"/>
    <s v="&quot;Minnetonka-based St. David's Center for Child &amp; Family Development, which for 50 years has worked around the Twin Cities with special-needs families, this spring opened the Harman Center for Child &amp; Family Wellbeing in Minneapolis, using leased low-cost space owned by Westminster Church. The 10,000-square-foot facility is contained in a new building owned by Westminster Presbyterian Church at 12th Street and Marquette Avenue.&quot;"/>
    <s v="Other"/>
    <m/>
    <m/>
    <x v="0"/>
    <n v="10000"/>
    <x v="0"/>
    <x v="0"/>
    <s v="http://www.startribune.com/harman-center-looks-to-help-kids-in-poverty/486307481/"/>
    <m/>
    <s v="1200 S Marquette Ave"/>
    <n v="55403"/>
    <n v="44.971443999999998"/>
    <n v="-93.275881999999996"/>
    <m/>
    <m/>
    <m/>
    <m/>
    <s v="St David's Center for Child &amp; Family Development"/>
    <s v="Minnetonka"/>
    <s v="MN"/>
    <m/>
    <s v="Metro"/>
    <x v="0"/>
  </r>
  <r>
    <x v="1"/>
    <d v="2018-06-25T00:00:00"/>
    <x v="89"/>
    <s v="Eagan"/>
    <s v="Dakota"/>
    <s v="MN"/>
    <s v="In 2006, Jeremy Segal started a wholesale business selling golf products to mom-and-pop stores. Business exploded when he created his own website. The company sells brand-name golf, fitness and outdoor apparel, accessories and gear at discounts. Proozy's team numbers about 85, which it plans to double by October. Proozy is moving its HQ to a larger 50K (existing?) facility up the street in Eagan. The new building that will house a storefront, a gym and a bigger warehouse facility."/>
    <s v="Headquarters"/>
    <m/>
    <n v="85"/>
    <x v="0"/>
    <m/>
    <x v="0"/>
    <x v="8"/>
    <s v="http://tcbmag.com/news/articles/2018/june/this-e-retailer-s-strategic-decision-led-to-a-hole"/>
    <m/>
    <s v="980 Discovery Rd"/>
    <n v="55121"/>
    <n v="44.834387"/>
    <n v="-93.139977000000002"/>
    <m/>
    <m/>
    <m/>
    <m/>
    <m/>
    <m/>
    <m/>
    <m/>
    <s v="Metro"/>
    <x v="0"/>
  </r>
  <r>
    <x v="1"/>
    <d v="2018-06-26T00:00:00"/>
    <x v="90"/>
    <s v="Brooklyn Center"/>
    <s v="Hennepin"/>
    <s v="MN"/>
    <s v="&quot;Get Bizzy Inc., a Minneapolis-based maker of bottled cold-brew coffee, wants to substantially expand its operations with a move to a leased industrial space at 2700 Freeway Blvd in Brooklyn Center. The company currently produces its coffee out of the Food Building, the Northeast Minneapolis food incubator. Get Bizzy expects to move from NE Minneapolis to Brooklyn Center, increase its staff from 11 to 58 workers over 4 years (and 23 of these within 2 years). 10/2018 update: MIF Award $270K."/>
    <s v="Headquarters; Manufacturing"/>
    <n v="600000"/>
    <n v="47"/>
    <x v="0"/>
    <n v="7000"/>
    <x v="1"/>
    <x v="1"/>
    <s v="https://www.bizjournals.com/twincities/news/2018/06/26/bottled-coffee-maker-get-bizzy-seeks-move-to.html"/>
    <m/>
    <s v="2700 Freeway Blvd"/>
    <n v="55430"/>
    <n v="45.076290999999998"/>
    <n v="-93.315753000000001"/>
    <s v="Government Financing"/>
    <m/>
    <m/>
    <m/>
    <m/>
    <m/>
    <m/>
    <m/>
    <s v="Metro"/>
    <x v="0"/>
  </r>
  <r>
    <x v="1"/>
    <d v="2018-06-26T00:00:00"/>
    <x v="91"/>
    <s v="Mendota Heights"/>
    <s v="Dakota"/>
    <s v="MN"/>
    <s v="Sun Country Airlines is peeling back the curtain on its new growth strategy, announcing nearly a dozen new routes all outside the Twin Cities. The Eagan-based carrier said Tuesday it will offer seasonal service from Dallas-Fort Worth, St. Louis and Madison, Wis., signaling a two-pronged strategy for national expansion. It is also hiring 125 flight attendants, about 100 pilots and some technicians. Even though these new flights don't touch the Twin Cities, MN employees will staff them."/>
    <s v="Headquarters; Office (Non-HQ)"/>
    <m/>
    <n v="225"/>
    <x v="0"/>
    <m/>
    <x v="0"/>
    <x v="3"/>
    <m/>
    <m/>
    <s v="1300 Mendota Heights Rd"/>
    <n v="55120"/>
    <n v="44.865186999999999"/>
    <n v="-93.161444000000003"/>
    <m/>
    <m/>
    <m/>
    <m/>
    <m/>
    <m/>
    <m/>
    <m/>
    <s v="Metro"/>
    <x v="0"/>
  </r>
  <r>
    <x v="1"/>
    <d v="2018-06-27T00:00:00"/>
    <x v="92"/>
    <s v="Minneapolis"/>
    <s v="Hennepin"/>
    <s v="MN"/>
    <s v="Relievant Medsystems is Relocating Its HQ to Bloomington, Will Expand Operations The move from California to Minnesota comes as the chronic lower back pain device maker has wrapped a $58 million fundraising round. President and CEO Kevin Hykes also says a lot of Relievant's executives, including himself, are already based in the state. Locally, the company is expecting to staff 20 people within the next 12 months for its new headquarters and elsewhere; positions were not previously needed"/>
    <s v="Headquarters"/>
    <m/>
    <n v="20"/>
    <x v="0"/>
    <m/>
    <x v="11"/>
    <x v="1"/>
    <s v="http://tcbmag.com/news/articles/2018/june/relievant-medsystems-is-relocating-its-hq-to-bloom"/>
    <m/>
    <s v="8500 Normandale Lake Blvd, Ste 2150"/>
    <n v="55437"/>
    <n v="44.850085"/>
    <n v="-93.354376000000002"/>
    <s v="Venture Capital"/>
    <m/>
    <m/>
    <m/>
    <m/>
    <m/>
    <m/>
    <m/>
    <s v="Metro"/>
    <x v="0"/>
  </r>
  <r>
    <x v="1"/>
    <d v="2018-06-27T00:00:00"/>
    <x v="93"/>
    <s v="St Louis Park"/>
    <s v="Hennepin"/>
    <s v="MN"/>
    <s v="It's learn by day, party by night for REM5, a new virtual-reality center opening in St. Louis Park later this year. Construction on the space, at 4950 W 35th St., is set to begin in July, and set for a mid-August opening. The 8,000-square-foot center being launched by Amir Berenjian and Travis Hoium will feature a lounge space and several semi-private virtual reality lounges, focusing on entertainment offerings, and partnering with local schools for daytime programs. Plan on hiring 5 to 10 ppl."/>
    <s v="Headquarters"/>
    <m/>
    <n v="10"/>
    <x v="0"/>
    <n v="8000"/>
    <x v="0"/>
    <x v="12"/>
    <s v="https://www.bizjournals.com/twincities/news/2018/06/27/virtual-reality-center-to-provide-entertainment-at.html"/>
    <m/>
    <s v="4950 W 35th St"/>
    <n v="55416"/>
    <n v="44.940911"/>
    <n v="-93.341892999999999"/>
    <m/>
    <m/>
    <m/>
    <m/>
    <m/>
    <m/>
    <m/>
    <m/>
    <s v="Metro"/>
    <x v="0"/>
  </r>
  <r>
    <x v="1"/>
    <d v="2018-06-29T00:00:00"/>
    <x v="94"/>
    <s v="Luverne"/>
    <s v="Rock"/>
    <s v="MN"/>
    <s v="IA-based Premium Iowa Pork plans to take over the former Gold n Plump poultry plant in Luverne, and plans to hire 325 full-time employees once the facility is up and running. The plant had been a poultry processing plant for nearly two decades under GNP/Pilgrim's Pride Corp. when it was shut down last fall. PIP's plans for $25 m renovation,12,500 SF addition plus split the $6.7 million for upgrading the plant's wastewater facility (with City of Luverne) won the backing of the Luverne Planning Commission this week."/>
    <s v="Manufacturing"/>
    <n v="28350000"/>
    <n v="325"/>
    <x v="0"/>
    <n v="12500"/>
    <x v="1"/>
    <x v="1"/>
    <s v="https://www.bizjournals.com/twincities/news/2018/06/29/pork-producer-plans-to-move-into-shuttered-gold-n.html"/>
    <m/>
    <s v="1174 County Hwy 4"/>
    <n v="56156"/>
    <n v="43.654209000000002"/>
    <n v="-96.215320000000006"/>
    <m/>
    <m/>
    <m/>
    <m/>
    <s v="Premium Iowa Pork"/>
    <s v="Hospers"/>
    <s v="IA"/>
    <m/>
    <s v="South"/>
    <x v="0"/>
  </r>
  <r>
    <x v="2"/>
    <d v="2018-07-05T00:00:00"/>
    <x v="95"/>
    <s v="Hutchinson"/>
    <s v="McLeod"/>
    <s v="MN"/>
    <s v="Minneapolis-based Kraus-Anderson has completed a $2.1 million expansion for Hutchinson Health in Hutchinson. The 9,600-square-foot project triples the size of Hutchinson Health's existing facility at 1095 Highway 15 S., and brings all of the clinic's cancer services into one location, according to Kraus-Anderson."/>
    <s v="Headquarters; Healthcare Facility"/>
    <n v="2100000"/>
    <m/>
    <x v="0"/>
    <n v="6400"/>
    <x v="0"/>
    <x v="0"/>
    <s v="https://finance-commerce.com/2018/07/hutchinson-health-expansion-completed/"/>
    <m/>
    <s v="1095 Hwy 15 S"/>
    <n v="55350"/>
    <n v="44.875701900000003"/>
    <n v="-94.375503499999994"/>
    <m/>
    <m/>
    <m/>
    <m/>
    <m/>
    <m/>
    <m/>
    <m/>
    <s v="Central"/>
    <x v="0"/>
  </r>
  <r>
    <x v="2"/>
    <d v="2018-07-06T00:00:00"/>
    <x v="96"/>
    <s v="North Mankato"/>
    <s v="Nicollet"/>
    <s v="MN"/>
    <s v="Truckshop expansion. Construction of new addition to their building on property. Mentioned in passing in Mankato Press Article. Details from DEED."/>
    <s v="Headquarters; Office (Non-HQ)"/>
    <n v="3389000"/>
    <n v="5"/>
    <x v="0"/>
    <n v="21000"/>
    <x v="18"/>
    <x v="1"/>
    <s v="http://www.mankatofreepress.com/news/local_news/n-mankato-could-loan-k-to-waseca-business-looking-to/article_e02cc4a2-9737-11e8-9580-bb75d8cf3984.html"/>
    <m/>
    <s v="2160 Ringhofer Dr"/>
    <n v="56003"/>
    <n v="44.173299999999998"/>
    <n v="-94.033844999999999"/>
    <m/>
    <m/>
    <m/>
    <m/>
    <m/>
    <m/>
    <m/>
    <m/>
    <s v="South"/>
    <x v="0"/>
  </r>
  <r>
    <x v="2"/>
    <d v="2018-07-11T00:00:00"/>
    <x v="97"/>
    <s v="St. Cloud"/>
    <s v="Sherburne"/>
    <s v="MN"/>
    <s v="Moss &amp; Barnett is expanding to the St. Cloud area by taking over Stinson Leonard Street's office there. It's Moss &amp; Barnett's first office outside of Minneapolis and there's no plans to add anymore, although that could change down the road. The St. Cloud office will focus on all things related to private and family-owned businesses in the area. About a dozen people are involved in the transaction including five attorneys. The deal was effective July 1."/>
    <s v="Office (Non-HQ)"/>
    <m/>
    <n v="12"/>
    <x v="0"/>
    <m/>
    <x v="17"/>
    <x v="4"/>
    <s v="https://www.bizjournals.com/twincities/news/2018/07/11/moss-barnett-takes-over-stinson-leonard-streets-st.html"/>
    <m/>
    <s v="3800 8th St N Ste 102"/>
    <n v="56303"/>
    <n v="45.565277999999999"/>
    <n v="-94.205136999999993"/>
    <m/>
    <m/>
    <m/>
    <m/>
    <s v="Moss &amp; Barnett"/>
    <s v="Minneapolis"/>
    <s v="MN"/>
    <m/>
    <s v="Central"/>
    <x v="0"/>
  </r>
  <r>
    <x v="2"/>
    <d v="2018-07-11T00:00:00"/>
    <x v="98"/>
    <s v="Brooklyn Center"/>
    <s v="Hennepin"/>
    <s v="MN"/>
    <s v="A three-story golf driving range will soon stage &quot;ambition auditions&quot; for the 500 or so people they want to hire before the glitzy and high-tech all-season facility opens this year in Brooklyn Center. Topgolf has said the 65,000-square-foot open-air center will have 102 multiplayer bays, 11 exterior targets, 270 flat-screen televisions, a 50-table restaurant, a 3,000-square-foot terrace and another 3,000 square feet for hosting private gatherings."/>
    <s v="Other"/>
    <m/>
    <n v="500"/>
    <x v="0"/>
    <m/>
    <x v="0"/>
    <x v="12"/>
    <s v="http://www.startribune.com/tricked-out-golf-driving-range-wants-to-hire-500-before-fall-opening-in-twin-cities/487776701/"/>
    <m/>
    <s v="6420 N Camden Ave"/>
    <n v="55430"/>
    <n v="45.072021999999997"/>
    <n v="-93.288172000000003"/>
    <m/>
    <m/>
    <m/>
    <m/>
    <s v="Topgolf"/>
    <s v="Dallas"/>
    <s v="TX"/>
    <m/>
    <s v="Metro"/>
    <x v="0"/>
  </r>
  <r>
    <x v="2"/>
    <d v="2018-07-12T00:00:00"/>
    <x v="99"/>
    <s v="Minneapolis"/>
    <s v="Hennepin"/>
    <s v="MN"/>
    <s v="Inspectorio, a startup that moved to Minneapolis after completing Target's Techstars accelerator program, has raised an additional $10 million it will use to further expand its efforts to modernize and improve how retailers monitor their supply chains. Inspectorio now has about 130 employees, including about eight people in downtown Minneapolis... It plans to grow to 200 employees in the next six months. The Minneapolis office will be doubled in size."/>
    <s v="Headquarters"/>
    <m/>
    <n v="8"/>
    <x v="0"/>
    <m/>
    <x v="3"/>
    <x v="4"/>
    <s v="http://www.startribune.com/minneapolis-startup-inspectorio-raises-10-million-with-help-from-target-ecolab/488045821/"/>
    <m/>
    <s v="901 S Marquette Ave Ste 603"/>
    <n v="55402"/>
    <n v="44.973908000000002"/>
    <n v="-93.272418999999999"/>
    <m/>
    <m/>
    <m/>
    <m/>
    <m/>
    <m/>
    <m/>
    <m/>
    <s v="Metro"/>
    <x v="0"/>
  </r>
  <r>
    <x v="2"/>
    <d v="2018-07-12T00:00:00"/>
    <x v="100"/>
    <s v="St Paul"/>
    <s v="Ramsey"/>
    <s v="MN"/>
    <s v="North Orbit Acoustic Laboratories, a provider of acoustic testing and consulting services for building product manufacturers, plans to open a new testing lab in St. Paul to help address a growing need for sound-testing services in the construction industry. The company, founded in 2016, wants to acquire and remake an existing 11,000-square-foot warehouse building at 917 Rice St. into a laboratory for testing building components. Company officials did not say how much they will spend on buildout."/>
    <s v="Research &amp; Dev"/>
    <n v="320000"/>
    <m/>
    <x v="0"/>
    <m/>
    <x v="15"/>
    <x v="4"/>
    <s v="https://finance-commerce.com/2018/07/north-orbit-acoustic-laboratories-looks-to-grow-in-st-paul/"/>
    <s v="Finance &amp; Commerce"/>
    <s v="917 Rice"/>
    <n v="55117"/>
    <n v="44.968626"/>
    <n v="-93.106790000000004"/>
    <m/>
    <m/>
    <m/>
    <m/>
    <s v="North Orbit Acoustic Laboratories"/>
    <s v="Minneapolis"/>
    <s v="MN"/>
    <m/>
    <s v="Central"/>
    <x v="0"/>
  </r>
  <r>
    <x v="2"/>
    <d v="2018-07-13T00:00:00"/>
    <x v="101"/>
    <s v="Minneapolis"/>
    <s v="Hennepin"/>
    <s v="MN"/>
    <s v="Minneapolis was awarded $741,553 in cleanup funding for this 2.9-acre site contaminated with petroleum and other pollutants. Housing, a gas station and a dry cleaner have all occupied the site in the past. The property will be redeveloped into 317 residential units, 15,000 square feet of office space for Sons of Norway and 7,000 square feet of retail space. Project expected to create 35 jobs, retain 50 jobs and increase the tax base by $990,537. Matching costs will be paid by developer, others."/>
    <s v="Other"/>
    <m/>
    <n v="35"/>
    <x v="2"/>
    <n v="15000"/>
    <x v="0"/>
    <x v="0"/>
    <s v="https://mn.gov/deed/newscenter/press-releases/?id=345918#/detail/appId/1/id/345486"/>
    <m/>
    <s v="1455 W Lake St"/>
    <n v="55408"/>
    <n v="44.948214"/>
    <n v="-93.299628999999996"/>
    <m/>
    <m/>
    <m/>
    <m/>
    <m/>
    <m/>
    <m/>
    <m/>
    <s v="Metro"/>
    <x v="0"/>
  </r>
  <r>
    <x v="2"/>
    <d v="2018-07-13T00:00:00"/>
    <x v="102"/>
    <s v="Minneapolis"/>
    <s v="Hennepin"/>
    <s v="MN"/>
    <s v="Minneapolis was approved for $1.2 million in cleanup funding for this 2.28-acre site contaminated with petroleum and other pollutants. Coal yards, fueling companies, a plating facility and gas station previously occupied this site. The property will be redeveloped into a 12-story building offering 8,163 square feet of commercial space and 333 apartment units. Officials expect project will create 44 jobs and increase the tax base by $1.2 million. Matching costs will be paid by developer, others."/>
    <s v="Other"/>
    <m/>
    <n v="44"/>
    <x v="0"/>
    <m/>
    <x v="27"/>
    <x v="1"/>
    <s v="https://mn.gov/deed/newscenter/press-releases/?id=345918#/detail/appId/1/id/345486"/>
    <m/>
    <s v="315 1st Ave NE"/>
    <n v="55413"/>
    <n v="44.989811000000003"/>
    <n v="-93.256564999999995"/>
    <s v="Government Financing"/>
    <m/>
    <m/>
    <m/>
    <m/>
    <m/>
    <m/>
    <m/>
    <s v="Metro"/>
    <x v="0"/>
  </r>
  <r>
    <x v="2"/>
    <d v="2018-07-13T00:00:00"/>
    <x v="103"/>
    <s v="Minneapolis"/>
    <s v="Hennepin"/>
    <s v="MN"/>
    <s v="The nonprofit financial services organization is building a 350,000-square foot office building in the southeast quadrant of South Sixth Street and South Fifth Avenue. The MN DEED awarded $755,756 to clean up petroleum and other pollutants on the 2.51-acre block. Minneapolis received $755,756 in cleanup funding. Expected to retain 1,300 jobs and to increase tax base by $2.3 million."/>
    <s v="Headquarters"/>
    <n v="125000000"/>
    <m/>
    <x v="3"/>
    <n v="364000"/>
    <x v="0"/>
    <x v="6"/>
    <s v="https://mn.gov/deed/newscenter/press-releases/?id=345918#/detail/appId/1/id/345486"/>
    <s v="DEED"/>
    <s v="625 4th Ave S"/>
    <n v="55415"/>
    <n v="44.974767999999997"/>
    <n v="-93.265685000000005"/>
    <s v="Government Financing"/>
    <m/>
    <m/>
    <m/>
    <m/>
    <m/>
    <m/>
    <m/>
    <s v="Metro"/>
    <x v="0"/>
  </r>
  <r>
    <x v="2"/>
    <d v="2018-07-13T00:00:00"/>
    <x v="104"/>
    <s v="Minneapolis"/>
    <s v="Hennepin"/>
    <s v="MN"/>
    <s v="&quot;Yamamoto is beefing up staff as it adds new clients. The Minneapolis advertising agency recently hired seven people in various departments, according to a release. It's a 12 percent increase in staff overall.&quot;"/>
    <s v="Headquarters"/>
    <m/>
    <n v="7"/>
    <x v="0"/>
    <m/>
    <x v="21"/>
    <x v="4"/>
    <m/>
    <m/>
    <s v="219 2nd St N"/>
    <n v="55401"/>
    <n v="44.984710999999997"/>
    <n v="-93.271122000000005"/>
    <m/>
    <m/>
    <m/>
    <m/>
    <m/>
    <m/>
    <m/>
    <m/>
    <s v="Metro"/>
    <x v="0"/>
  </r>
  <r>
    <x v="1"/>
    <d v="2018-07-16T00:00:00"/>
    <x v="105"/>
    <s v="Shakopee"/>
    <s v="Scott"/>
    <s v="MN"/>
    <s v="To ensure it has a clean [recycling] product to sell, Dem-Con has slowed down its sorting facility, added staff, and will be spending $2 million this fall to upgrade paper-sorting equipment."/>
    <s v="Headquarters; Other"/>
    <n v="2000000"/>
    <m/>
    <x v="0"/>
    <m/>
    <x v="0"/>
    <x v="13"/>
    <s v="http://www.startribune.com/minnesota-recyclers-scrambling-in-wake-of-chinese-restrictions/488198641/?ref=nl&amp;om_rid=1922783689&amp;om_mid=101521865"/>
    <m/>
    <s v="13020 Dem Con Dr"/>
    <n v="55379"/>
    <n v="44.761200000000002"/>
    <n v="-93.584198000000001"/>
    <m/>
    <m/>
    <m/>
    <m/>
    <m/>
    <m/>
    <m/>
    <m/>
    <s v="Central"/>
    <x v="0"/>
  </r>
  <r>
    <x v="2"/>
    <d v="2018-07-17T00:00:00"/>
    <x v="106"/>
    <s v="Minneapolis"/>
    <s v="Hennepin"/>
    <s v="MN"/>
    <s v="Public relations firm Lola Red will move this fall to space above the long-shuttered Bootlegger's bar at the corner of Fourth St. and First Avenue North in Minneapolis, several blocks from its current location in the Warehouse District, just above Runyon's. The firm's office will take up three floors, expanding from the 4,500 square feet it now has to 7,500 square feet, room enough for its 25 employees with space for growth."/>
    <s v="Headquarters"/>
    <m/>
    <m/>
    <x v="0"/>
    <n v="3000"/>
    <x v="21"/>
    <x v="4"/>
    <s v="https://www.bizjournals.com/twincities/news/2018/07/17/pr-firm-lola-red-plots-move-within-warehouse.html"/>
    <m/>
    <s v="107 N Washington Ave"/>
    <n v="55401"/>
    <n v="44.982892"/>
    <n v="-93.270944"/>
    <m/>
    <m/>
    <m/>
    <m/>
    <m/>
    <m/>
    <m/>
    <m/>
    <s v="Metro"/>
    <x v="0"/>
  </r>
  <r>
    <x v="2"/>
    <d v="2018-07-17T00:00:00"/>
    <x v="107"/>
    <s v="Eden Prairie"/>
    <s v="Hennepin"/>
    <s v="MN"/>
    <s v="Miromatrix Medical Inc., a biotech company whose long-term goal is to grow human organs using a patient's own cells, has closed on a $15.7 million round of funding. Eden Prairie-based Miromatrix plans to put the capital partly toward further development and testing of its technology, which was first developed by researchers at the University of Minnesota. Miromatrix beat its initial fundraising goal of $10 million. It has about 30 employees and plans to add 3-5 more over the next 2 months."/>
    <s v="Headquarters"/>
    <m/>
    <n v="5"/>
    <x v="0"/>
    <m/>
    <x v="11"/>
    <x v="1"/>
    <m/>
    <m/>
    <s v="18683 Bearpath Trail"/>
    <n v="55347"/>
    <n v="44.843884000000003"/>
    <n v="-93.518967000000004"/>
    <s v="Venture Capital"/>
    <m/>
    <m/>
    <m/>
    <m/>
    <m/>
    <m/>
    <m/>
    <s v="Metro"/>
    <x v="0"/>
  </r>
  <r>
    <x v="2"/>
    <d v="2018-07-19T00:00:00"/>
    <x v="108"/>
    <s v="Fridley"/>
    <s v="Anoka"/>
    <s v="MN"/>
    <s v="The Northern Stacks in Fridley has drawn two Minnesota locations of Intertek to lease 70,500 square feet in one of the newest buildings in the nine-building industrial park. The move represents a small expansion of space and workforce for Intertek. London-based Intertek signed the 10-year lease in June, which will consolidate a 60-person workforce. Intertek will leave behind two leased spaces in St. Paul and Oakdale"/>
    <s v="Office (Non-HQ)"/>
    <m/>
    <n v="25"/>
    <x v="0"/>
    <n v="5500"/>
    <x v="10"/>
    <x v="4"/>
    <s v="https://finance-commerce.com/2018/07/intertek-moving-to-fridleys-northern-stacks/"/>
    <m/>
    <s v="41 Northern Stacks Dr"/>
    <n v="55421"/>
    <n v="45.054772999999997"/>
    <n v="-93.274202000000002"/>
    <m/>
    <m/>
    <m/>
    <s v="y"/>
    <s v="Intertek Group plc"/>
    <s v="London"/>
    <m/>
    <s v="United Kingdom"/>
    <s v="Metro"/>
    <x v="0"/>
  </r>
  <r>
    <x v="2"/>
    <d v="2018-07-20T00:00:00"/>
    <x v="109"/>
    <s v="Mankato"/>
    <s v="Blue Earth"/>
    <s v="MN"/>
    <s v="D&amp;K is adding on a 22,000 SQ. Ft addition. Construction is set to begin on July 23rd and be completed by fall of 2018."/>
    <s v="Manufacturing"/>
    <n v="1300000"/>
    <n v="5"/>
    <x v="0"/>
    <n v="22000"/>
    <x v="28"/>
    <x v="1"/>
    <s v="https://dkpowdercoating.com/blog-post-2/"/>
    <m/>
    <s v="1415 First Ave Ste 1"/>
    <n v="56001"/>
    <n v="44.180118"/>
    <n v="-93.992536999999999"/>
    <m/>
    <m/>
    <m/>
    <m/>
    <m/>
    <m/>
    <m/>
    <m/>
    <s v="South"/>
    <x v="0"/>
  </r>
  <r>
    <x v="2"/>
    <d v="2018-07-20T00:00:00"/>
    <x v="110"/>
    <s v="Rogers"/>
    <s v="Hennepin"/>
    <s v="MN"/>
    <s v="Graco Minnesota, Inc. may expand its existing manufacturing facility in Rogers (Hennepin County) with approx. 330,000-square feet related to manufacturing operations and approximately 106,000-square feet for new office and lab areas. The total capital investment is $73,665,000 with $49,333,500 of it being eligible for the capital investment rebate. The company expects to create 84 jobs within 4 years. JCF Award $800K, MIF Award $700K."/>
    <s v="Manufacturing; Research &amp; Dev; Distribution Center"/>
    <n v="73665000"/>
    <n v="84"/>
    <x v="0"/>
    <n v="436000"/>
    <x v="4"/>
    <x v="1"/>
    <s v="https://mn.gov/deed/about/meetings-events/public-meetings.jsp#/?i=1"/>
    <m/>
    <s v="20500 David Koch Ave"/>
    <n v="55374"/>
    <n v="45.190212000000002"/>
    <n v="-93.538431000000003"/>
    <s v="Government Financing"/>
    <m/>
    <m/>
    <m/>
    <s v="Graco Inc"/>
    <s v="Minneapolis"/>
    <s v="MN"/>
    <m/>
    <s v="Metro"/>
    <x v="0"/>
  </r>
  <r>
    <x v="2"/>
    <d v="2018-07-23T00:00:00"/>
    <x v="111"/>
    <s v="Eden Prairie"/>
    <s v="Hennepin"/>
    <s v="MN"/>
    <s v="A San Francisco-area transplant has chosen Eden Prairie as its new home. Human resources software company Ascentis is taking over the fourth floor at Windsor Plaza, a 30,000-square-foot space that will be its main corporate office. Until recently, Ascentis? headquarters has been located in the Bay Area city of San Mateo, CA, at a 1970s-era building at 155 Bovet Rd. Construction of Ascentis' new space at Windsor Plaza will top $1 million."/>
    <s v="Headquarters"/>
    <n v="1000000"/>
    <m/>
    <x v="0"/>
    <n v="30000"/>
    <x v="3"/>
    <x v="4"/>
    <s v="https://mrej.com/silicon-valley-tech-co-moves-hq-to-minneapolis-suburb/"/>
    <m/>
    <s v="11995 Singletree Lane Ste 400"/>
    <n v="55344"/>
    <n v="44.855870000000003"/>
    <n v="-93.428830000000005"/>
    <m/>
    <m/>
    <m/>
    <m/>
    <m/>
    <m/>
    <m/>
    <m/>
    <s v="Metro"/>
    <x v="0"/>
  </r>
  <r>
    <x v="2"/>
    <d v="2018-07-25T00:00:00"/>
    <x v="112"/>
    <s v="Minneapolis"/>
    <s v="Hennepin"/>
    <s v="MN"/>
    <s v="Growing logistics-tech company GlobalTranz Enterprises Inc. will expand its Minneapolis office as it ramps up hiring in the Twin Cities. The Scottsdale, Ariz.-based company has leased about 24,000 square feet of space on the 17th and 18th floors of Capella Tower in downtown Minneapolis. GlobalTranz, which has about 130 employees in the Twin Cities, will move out of roughly 9,000 square feet in the Riverplace building near St. Anthony Main. Could include adding 20 more positions to Mpls ofc"/>
    <s v="Office (Non-HQ)"/>
    <m/>
    <n v="20"/>
    <x v="0"/>
    <n v="13000"/>
    <x v="3"/>
    <x v="4"/>
    <s v="https://www.bizjournals.com/twincities/news/2018/07/25/logistics-tech-firm-globaltranz-ramps-up-growth-in.html"/>
    <m/>
    <s v="650 3rd Ave S Ste 1800"/>
    <n v="55402"/>
    <n v="44.975962000000003"/>
    <n v="-93.267332999999994"/>
    <m/>
    <m/>
    <m/>
    <m/>
    <s v="GlobalTranz"/>
    <s v="Phoenix"/>
    <s v="AZ"/>
    <m/>
    <s v="Metro"/>
    <x v="0"/>
  </r>
  <r>
    <x v="2"/>
    <d v="2018-07-25T00:00:00"/>
    <x v="113"/>
    <s v="St Paul"/>
    <s v="Ramsey"/>
    <s v="MN"/>
    <s v="MDI has begun filling 160 positions across all its locations (Grand Rapids, Cohasset, Hibbing, and Minneapolis) due to a surge in postal service orders coupled with a steady increase in commercial sales. MDI manufactures standard and custom corrugated plastic and provides assembly and environmental services. The organization currently employs more than 400 people, with nearly half of its workforce comprised of people with disabilities."/>
    <s v="Headquarters; Office (Non-HQ); Manufacturing"/>
    <m/>
    <n v="160"/>
    <x v="0"/>
    <m/>
    <x v="18"/>
    <x v="1"/>
    <s v="http://www.businessnorth.com/around_the_region/mdi-adds-jobs-at-locations-across-minnesota/article_55ade4cc-9017-11e8-b07c-cf648dee56b9.html"/>
    <m/>
    <s v="1700 Wynne Ave"/>
    <n v="55108"/>
    <n v="44.973880000000001"/>
    <n v="-93.173270000000002"/>
    <m/>
    <m/>
    <m/>
    <m/>
    <m/>
    <m/>
    <m/>
    <m/>
    <s v="Metro"/>
    <x v="0"/>
  </r>
  <r>
    <x v="2"/>
    <d v="2018-07-27T00:00:00"/>
    <x v="114"/>
    <s v="Chaska"/>
    <s v="Carver"/>
    <s v="MN"/>
    <s v="Lakeview Industries, Inc. of Chaska wants to move its entire business to the city of Carver. The company intends to build a new home on about 42.5 acres north of the Mills Fleet Farm store and Levi Griffin Road and east of a Carver water tower. Proposed project involves initial construction of 143,000 square feet of space to house warehousing and manufacturing with potential for additional expansion and a second building. 2/4/2019 per DEED update: IBDPI Grant $977,132. 31 new jobs, retain 90"/>
    <s v="Headquarters; Manufacturing"/>
    <m/>
    <n v="31"/>
    <x v="4"/>
    <n v="143000"/>
    <x v="27"/>
    <x v="1"/>
    <s v="https://www.swnewsmedia.com/chaska_herald/news/business/chaska-s-lakeview-industries-looks-to-relocate-to-carver/article_9a1c2ddc-f972-5db4-b762-bf23bb7805c5.html"/>
    <m/>
    <s v="1225 Lakeview Dr"/>
    <n v="55318"/>
    <n v="44.837600700000003"/>
    <n v="-93.575500500000004"/>
    <s v="Government Financing"/>
    <s v="BDPI-Innovative"/>
    <s v="977134"/>
    <m/>
    <m/>
    <m/>
    <m/>
    <m/>
    <s v="Metro"/>
    <x v="0"/>
  </r>
  <r>
    <x v="2"/>
    <d v="2018-07-30T00:00:00"/>
    <x v="115"/>
    <s v="Rochester"/>
    <s v="Olmsted"/>
    <s v="MN"/>
    <s v="Mayo Clinic is gearing up to offer new concierge services to its Middle Eastern patients by contracting with a subsidiary of France-based Sodexo. This new contract, which will start in October. Circles, a global concierge service provider and part of the Sodexo Group, a world leader in Quality of Life Services, today announces the official opening of a new office in Rochester, MN to support our growing healthcare business."/>
    <s v="Office (Non-HQ)"/>
    <m/>
    <m/>
    <x v="0"/>
    <m/>
    <x v="19"/>
    <x v="4"/>
    <s v="https://www.postbulletin.com/news/heard_on_the_street/heard-on-the-street-mayo-contracts-concierge-services-for-middle/article_e2ff9d5c-9445-11e8-bdb1-c755af3168f8.html AND https://www.biospace.com/article/releases/circles-a-sodexo-company-opens-minnesota"/>
    <m/>
    <m/>
    <n v="55901"/>
    <n v="44.075285000000001"/>
    <n v="-92.516915999999995"/>
    <m/>
    <m/>
    <m/>
    <s v="y"/>
    <s v="Sodexo"/>
    <s v="Guyancourt"/>
    <m/>
    <s v="France"/>
    <s v="South"/>
    <x v="0"/>
  </r>
  <r>
    <x v="2"/>
    <d v="2018-07-30T00:00:00"/>
    <x v="116"/>
    <s v="Bloomington"/>
    <s v="Hennepin"/>
    <s v="MN"/>
    <s v="Through a partnership with Normandale Community College, a three-phase advanced manufacturing training and development program will be customized for 800 employees, 40 of them new. In phase one, trainees will receive awareness training about the organization, its strategic direction, diverse cultures, products and quality expectations. Phase two will help employees develop and apply skills in filtration technologies, quality foundations, Six Sigma, Lean, auditor fundamentals, etc."/>
    <s v="Headquarters; Manufacturing"/>
    <m/>
    <n v="40"/>
    <x v="0"/>
    <m/>
    <x v="4"/>
    <x v="1"/>
    <s v="https://mn.gov/deed/newscenter/press-releases/?id=347440"/>
    <m/>
    <s v="1400 W 94th St"/>
    <n v="55431"/>
    <n v="44.833675999999997"/>
    <n v="-93.296312999999998"/>
    <m/>
    <m/>
    <m/>
    <m/>
    <m/>
    <m/>
    <m/>
    <m/>
    <s v="Metro"/>
    <x v="0"/>
  </r>
  <r>
    <x v="2"/>
    <d v="2018-07-30T00:00:00"/>
    <x v="117"/>
    <s v="Bloomington"/>
    <s v="Hennepin"/>
    <s v="MN"/>
    <s v="ImmunoChemistry Technologies is a specialized bioscience business. Nine employees, including one new hire, will receive customized training in ISO 9001, OSHA 10 Safety and Hazardous Material Handling, and internal auditor training. MJSP Award $49,338"/>
    <s v="Headquarters"/>
    <m/>
    <n v="1"/>
    <x v="0"/>
    <m/>
    <x v="9"/>
    <x v="4"/>
    <s v="https://mn.gov/deed/newscenter/press-releases/?id=347440"/>
    <m/>
    <s v="9401 James Ave S Ste 155"/>
    <n v="55431"/>
    <n v="44.832580999999998"/>
    <n v="-93.299891000000002"/>
    <s v="Government Financing"/>
    <m/>
    <m/>
    <m/>
    <m/>
    <m/>
    <m/>
    <m/>
    <s v="Metro"/>
    <x v="0"/>
  </r>
  <r>
    <x v="2"/>
    <d v="2018-07-30T00:00:00"/>
    <x v="118"/>
    <s v="Elk River"/>
    <s v="Sherburne"/>
    <s v="MN"/>
    <s v="M&amp;M Machining offers a line of machining options, including milling, turning, drill presses, exterior processes, finishing and Swiss machining for the military and medical and aerospace industries. All 37 employees, two of them new, will participate in Advanced Blueprint Reading and Inspection, Advanced Kaizen, and Problem Solving. MJSP 49,814"/>
    <s v="Headquarters; Manufacturing"/>
    <m/>
    <n v="2"/>
    <x v="0"/>
    <m/>
    <x v="4"/>
    <x v="1"/>
    <s v="https://mn.gov/deed/newscenter/press-releases/?id=347440"/>
    <m/>
    <s v="12797 Meadowvale Rd"/>
    <n v="55330"/>
    <n v="45.315128999999999"/>
    <n v="-93.592157"/>
    <s v="Government Financing"/>
    <m/>
    <m/>
    <m/>
    <m/>
    <m/>
    <m/>
    <m/>
    <s v="Central"/>
    <x v="0"/>
  </r>
  <r>
    <x v="2"/>
    <d v="2018-07-30T00:00:00"/>
    <x v="119"/>
    <s v="Mahtomedi"/>
    <s v="Washington"/>
    <s v="MN"/>
    <s v="TLC Electronics, a first-time applicant for MJSP funding, is a value-added manufacturer and distributor. Funding will enable the company to develop training in advanced technologies to expand their customer base to include medical device manufacturers. Training will be developed and delivered to 63 employees, 20 of them new. MJSP Funding $49.975"/>
    <s v="Other"/>
    <m/>
    <n v="20"/>
    <x v="0"/>
    <m/>
    <x v="23"/>
    <x v="1"/>
    <s v="https://mn.gov/deed/newscenter/press-releases/?id=347440"/>
    <m/>
    <s v="18 Long Lake Rd"/>
    <n v="55115"/>
    <n v="45.037368000000001"/>
    <n v="-92.972669999999994"/>
    <s v="Government Financing"/>
    <m/>
    <m/>
    <m/>
    <m/>
    <m/>
    <m/>
    <m/>
    <s v="Metro"/>
    <x v="0"/>
  </r>
  <r>
    <x v="2"/>
    <d v="2018-08-07T00:00:00"/>
    <x v="120"/>
    <s v="Minneapolis"/>
    <s v="Hennepin"/>
    <s v="MN"/>
    <s v="IT company Atomic Data has moved 80 employees from the North Loop to Marquette Plaza, where it now occupies 58,000 square feet. The firm, which has been in the North Loop for 12 years, had outgrown its space at 615 N. Third St. The 80 employees will join 85 others who already work in Marquette Plaza. Atomic Data is leasing an additional 30,000 square feet on the 11th floor in addition to the 28,000 it already leases in the building, which is at 250 Marquette Ave"/>
    <s v="Headquarters"/>
    <m/>
    <m/>
    <x v="0"/>
    <n v="30000"/>
    <x v="29"/>
    <x v="9"/>
    <s v="https://www.bizjournals.com/twincities/news/2018/08/07/atomic-data-outgrows-north-loop-expands-downtown.html; http://bit.ly/2niwVC3"/>
    <m/>
    <s v="250 Marquette Ave"/>
    <n v="55401"/>
    <n v="44.986301400000002"/>
    <n v="-93.277900700000004"/>
    <m/>
    <m/>
    <m/>
    <m/>
    <m/>
    <m/>
    <m/>
    <m/>
    <s v="Metro"/>
    <x v="0"/>
  </r>
  <r>
    <x v="2"/>
    <d v="2018-08-07T00:00:00"/>
    <x v="121"/>
    <s v="Minneapolis"/>
    <s v="Hennepin"/>
    <s v="MN"/>
    <s v="Vireo Health Inc., the parent company of medical cannabis businesses in New York, Pennsylvania and Minnesota, is nearing the end of a $17.25 million financing round intended to fund expansion efforts and launch an initial public offering. Vireo, which runs MinnMed, the only other operator outside of LeafLine Labs that is approved to sell medical cannabis products in Minnesota, expects the new capital will lead to hundreds of new jobs across its locations, with at least 50 new jobs in MN."/>
    <s v="Headquarters"/>
    <m/>
    <n v="50"/>
    <x v="0"/>
    <m/>
    <x v="18"/>
    <x v="1"/>
    <s v="http://tcbmag.com/news/articles/2018/august/vireo-health-s-17m-round-will-fund-expansion-50-new-jobs-in-mn-ipo-in-canada"/>
    <m/>
    <s v="207 South 9th St"/>
    <n v="55402"/>
    <n v="44.973604999999999"/>
    <n v="-93.271187999999995"/>
    <m/>
    <m/>
    <m/>
    <m/>
    <m/>
    <m/>
    <m/>
    <m/>
    <s v="Metro"/>
    <x v="0"/>
  </r>
  <r>
    <x v="2"/>
    <d v="2018-08-08T00:00:00"/>
    <x v="122"/>
    <s v="Minneapolis"/>
    <s v="Hennepin"/>
    <s v="MN"/>
    <s v="Tech startup ClickSwitch Holdings Inc., which aims to make it easier for people to move bank accounts from one financial institution to another, will ramp up hiring after closing on $3.5 million in financing. ClickSwitch sells its application to banks and credit unions, which then offer it to customers. The company has about 350 customers and roughly 30 employees. It expects to double its staff by the end of the year."/>
    <s v="Headquarters"/>
    <m/>
    <n v="30"/>
    <x v="0"/>
    <m/>
    <x v="3"/>
    <x v="4"/>
    <m/>
    <m/>
    <s v="244 N 1st Ave North Ste 100"/>
    <n v="55401"/>
    <n v="44.982649000000002"/>
    <n v="-93.271232999999995"/>
    <m/>
    <m/>
    <m/>
    <m/>
    <m/>
    <m/>
    <m/>
    <m/>
    <s v="Metro"/>
    <x v="0"/>
  </r>
  <r>
    <x v="2"/>
    <d v="2018-08-10T00:00:00"/>
    <x v="123"/>
    <s v="Bloomington"/>
    <s v="Hennepin"/>
    <s v="MN"/>
    <s v="Five years ago Nick Lambrecht turned a failed Maple Grove movie theater into the first WhirlyBall center in the Twin Cities. Now, Lambrecht is starting construction on a second venue, in Bloomington. The new center will be bigger, more elaborate. Lambrecht estimates the 39,000-square-foot center will cost more than $10 million, including the site acquisition ($2.5 million)."/>
    <s v="Other"/>
    <n v="10000000"/>
    <m/>
    <x v="0"/>
    <n v="39000"/>
    <x v="0"/>
    <x v="12"/>
    <s v="https://finance-commerce.com/2018/08/just-sold-whirlyball-center-planned-near-mall-of-america/"/>
    <m/>
    <s v="2415 E Old Shakopee Rd"/>
    <n v="55425"/>
    <n v="44.851522000000003"/>
    <n v="-93.237352000000001"/>
    <m/>
    <m/>
    <m/>
    <m/>
    <s v="WhirlyBall"/>
    <s v="Maple Grove"/>
    <s v="MN"/>
    <m/>
    <s v="Metro"/>
    <x v="0"/>
  </r>
  <r>
    <x v="2"/>
    <d v="2018-08-12T00:00:00"/>
    <x v="124"/>
    <s v="Brooklyn Park"/>
    <s v="Hennepin"/>
    <s v="MN"/>
    <s v="The plant is owned by Japanese drugmaker Takeda Pharmaceuticals International Co., one of the 20 biggest drug companies in the world. Takeda has been working for years to bring a sophisticated facility online in Brooklyn Park that will become its first U.S. manufacturing site and also serve as a corporate center of excellence. Takeda employs about 30,000 people worldwide, including 220 in Minnesota, which could locally grow to 250."/>
    <s v="Office (Non-HQ); Manufacturing"/>
    <m/>
    <n v="30"/>
    <x v="0"/>
    <m/>
    <x v="28"/>
    <x v="1"/>
    <s v="http://www.startribune.com/takeda-is-banking-on-a-supertarget-sized-biologic-plant-in-brooklyn-park/490604121/"/>
    <m/>
    <s v="9450 Winnetka Ave N"/>
    <n v="55445"/>
    <n v="45.111296400000001"/>
    <n v="-93.350535899999997"/>
    <m/>
    <m/>
    <m/>
    <s v="y"/>
    <s v="Takeda Pharmaceutical Company Ltd"/>
    <s v="Osaka"/>
    <m/>
    <s v="Japan"/>
    <s v="Metro"/>
    <x v="0"/>
  </r>
  <r>
    <x v="2"/>
    <d v="2018-08-13T00:00:00"/>
    <x v="125"/>
    <s v="Morris"/>
    <s v="Stevens"/>
    <s v="MN"/>
    <s v="Amid low milk prices and a trade war threatening exports, Riverview is placing massive bets: $50 million in construction and startup costs for each new dairy. Riverview is building a new dairy in Swenoda Township, a few miles west of the Louriston Dairy, that will also supply the Agropur expansion at Lake Norden, SD. Agropur is tripling its capacity by early next year."/>
    <s v="Other"/>
    <n v="50000000"/>
    <m/>
    <x v="0"/>
    <m/>
    <x v="0"/>
    <x v="14"/>
    <s v="http://www.startribune.com/milking-cows-on-an-industrial-scale-arrives-in-western-minnesota-and-some-farmers-shudder/490589351/"/>
    <m/>
    <s v="26406 470th Ave"/>
    <n v="56267"/>
    <n v="45.619987999999999"/>
    <n v="-95.902520999999993"/>
    <m/>
    <m/>
    <m/>
    <m/>
    <m/>
    <m/>
    <m/>
    <m/>
    <s v="Central"/>
    <x v="0"/>
  </r>
  <r>
    <x v="2"/>
    <d v="2018-08-14T00:00:00"/>
    <x v="126"/>
    <s v="Minneapolis"/>
    <s v="Hennepin"/>
    <s v="MN"/>
    <s v="Health-IT company Sansoro Health Inc. has closed on $8 million in venture capital as it ramps up hiring and starts pitching its products to insurers. Boston-based venture capital firm LRVHealth led the round of funding. Minneapolis-based Sansoro makes Emissary, a software application that integrates disparate electronic medical records systems. The company has about 38 employees, and expects the company's staff to double again over the next year."/>
    <s v="Headquarters"/>
    <m/>
    <n v="38"/>
    <x v="0"/>
    <m/>
    <x v="3"/>
    <x v="4"/>
    <s v="https://www.bizjournals.com/twincities/news/2018/08/14/health-it-company-sansoro-raises-8-million-steps.html"/>
    <m/>
    <s v="4540 Colfax Ave S"/>
    <n v="55419"/>
    <n v="44.920085999999998"/>
    <n v="-93.292501000000001"/>
    <s v="Venture Capital"/>
    <m/>
    <m/>
    <m/>
    <m/>
    <m/>
    <m/>
    <m/>
    <s v="Metro"/>
    <x v="0"/>
  </r>
  <r>
    <x v="2"/>
    <d v="2018-08-14T00:00:00"/>
    <x v="127"/>
    <s v="Minneapolis"/>
    <s v="Hennepin"/>
    <s v="MN"/>
    <s v="WeWork, the co-working space provider, recently increased its commitment to the eight-story, 198,000-square-foot building at 1330 Lagoon Ave. WeWork initially leased 46,000 square feet late last year, but the company will occupy 102,000 square feet, or 52 percent of the building. WeWork has begun building out its offices in MoZaic East. MoZaic East will be WeWork's largest location in the Twin Cities."/>
    <s v="Office (Non-HQ)"/>
    <m/>
    <m/>
    <x v="0"/>
    <n v="56000"/>
    <x v="0"/>
    <x v="2"/>
    <s v="https://finance-commerce.com/2018/08/wework-doubles-space-in-uptowns-mozaic-east/"/>
    <m/>
    <s v="1300 Lagoon Ave"/>
    <n v="55408"/>
    <n v="44.949469000000001"/>
    <n v="-93.296087999999997"/>
    <m/>
    <m/>
    <m/>
    <m/>
    <s v="WeWork"/>
    <s v="New York"/>
    <s v="NY"/>
    <m/>
    <s v="Metro"/>
    <x v="0"/>
  </r>
  <r>
    <x v="2"/>
    <d v="2018-08-16T00:00:00"/>
    <x v="128"/>
    <s v="Edina"/>
    <s v="Hennepin"/>
    <s v="MN"/>
    <s v="2018 Best Places to Work, Mpls St Paul Business Journal. Business: Independent, fee-only wealth management firm. QUESTION How many people will you hire this year, and what do you look for in a prospective employee? ANSWER We expect to hire roughly five new people."/>
    <s v="Other"/>
    <m/>
    <n v="5"/>
    <x v="0"/>
    <m/>
    <x v="0"/>
    <x v="6"/>
    <s v="https://www.bizjournals.com/twincities/news/2018/08/16/best-places-to-work-2018-accredited-investors-inc.html"/>
    <m/>
    <s v="5200 W 73rd St"/>
    <n v="55439"/>
    <n v="44.870596999999997"/>
    <n v="-93.354950000000002"/>
    <m/>
    <m/>
    <m/>
    <m/>
    <m/>
    <m/>
    <m/>
    <m/>
    <s v="Metro"/>
    <x v="0"/>
  </r>
  <r>
    <x v="2"/>
    <d v="2018-08-16T00:00:00"/>
    <x v="129"/>
    <s v="Minneapolis"/>
    <s v="Hennepin"/>
    <s v="MN"/>
    <s v="2018 Best Places to Work, Mpls St Paul Business Journal. Business: Cloud software application developer.  QUESTION How many people will you hire this year, and what do you look for in a prospective employee? ANSWER Agosto will hire between 10 and 20 new employees in 2018."/>
    <s v="Headquarters"/>
    <m/>
    <n v="20"/>
    <x v="0"/>
    <m/>
    <x v="3"/>
    <x v="4"/>
    <s v="https://www.bizjournals.com/twincities/news/2018/08/16/best-places-to-work-2018-agosto-inc.html"/>
    <m/>
    <s v="420 5th St N Ste 400"/>
    <n v="55401"/>
    <n v="44.983595999999999"/>
    <n v="-93.277499000000006"/>
    <m/>
    <m/>
    <m/>
    <m/>
    <m/>
    <m/>
    <m/>
    <m/>
    <s v="Metro"/>
    <x v="0"/>
  </r>
  <r>
    <x v="2"/>
    <d v="2018-08-16T00:00:00"/>
    <x v="130"/>
    <s v="Edina"/>
    <s v="Hennepin"/>
    <s v="MN"/>
    <s v="2018 Best Places to Work, Mpls St Paul Business Journal. Business: Technology consulting services company. QUESTION How many people will you hire this year, and what do you look for in a prospective employee? ANSWER We expect to hire over 20 additional AIMers this year"/>
    <s v="Headquarters"/>
    <m/>
    <n v="20"/>
    <x v="0"/>
    <m/>
    <x v="10"/>
    <x v="4"/>
    <s v="https://www.bizjournals.com/twincities/news/2018/08/16/best-places-to-work-2018-aim-consulting.html"/>
    <m/>
    <s v="6600 France Ave S Ste 245"/>
    <n v="55435"/>
    <n v="44.882075999999998"/>
    <n v="-93.330126000000007"/>
    <m/>
    <m/>
    <m/>
    <m/>
    <m/>
    <m/>
    <m/>
    <m/>
    <s v="Metro"/>
    <x v="0"/>
  </r>
  <r>
    <x v="2"/>
    <d v="2018-08-16T00:00:00"/>
    <x v="131"/>
    <s v="Little Canada"/>
    <s v="Ramsey"/>
    <s v="MN"/>
    <s v="2018 Best Places to Work, Mpls St Paul Business Journal. Business: Provide heating, cooling, electrical, plumbing and water treatment services. QUESTION How many people will you hire this year, and what do you look for in a prospective employee? ANSWER Anywhere from 10 to 50, never put a limit on great people!"/>
    <s v="Headquarters"/>
    <m/>
    <n v="50"/>
    <x v="0"/>
    <m/>
    <x v="5"/>
    <x v="5"/>
    <s v="https://www.bizjournals.com/twincities/news/2018/08/16/best-places-to-work-2018-aquarius-home-services.html"/>
    <m/>
    <s v="3182 Country Dr"/>
    <n v="55117"/>
    <n v="45.042386"/>
    <n v="-93.104481000000007"/>
    <m/>
    <m/>
    <m/>
    <m/>
    <m/>
    <m/>
    <m/>
    <m/>
    <s v="Metro"/>
    <x v="0"/>
  </r>
  <r>
    <x v="2"/>
    <d v="2018-08-16T00:00:00"/>
    <x v="132"/>
    <s v="Richfield"/>
    <s v="Hennepin"/>
    <s v="MN"/>
    <s v="2018 Best Places to Work, Mpls St Paul Business Journal. Business: Full-service travel management company . QUESTION How many people will you hire this year? ANSWER Three to five"/>
    <s v="Other"/>
    <m/>
    <n v="5"/>
    <x v="0"/>
    <m/>
    <x v="30"/>
    <x v="15"/>
    <s v="https://www.bizjournals.com/twincities/news/2018/08/16/best-places-to-work-2018-carrousel-travel.html"/>
    <m/>
    <s v="6625 Lyndale Ave S #104"/>
    <n v="55423"/>
    <n v="44.882404000000001"/>
    <n v="-93.286736000000005"/>
    <m/>
    <m/>
    <m/>
    <m/>
    <m/>
    <m/>
    <m/>
    <m/>
    <s v="Metro"/>
    <x v="0"/>
  </r>
  <r>
    <x v="2"/>
    <d v="2018-08-16T00:00:00"/>
    <x v="133"/>
    <s v="Woodbury"/>
    <s v="Washington"/>
    <s v="MN"/>
    <s v="2018 Best Places to Work, Mpls St Paul Business Journal. Business: residential construction. QUESTION How many people will you hire this year? ANSWER We will hire 20-plus this year."/>
    <s v="Headquarters"/>
    <m/>
    <n v="20"/>
    <x v="0"/>
    <m/>
    <x v="0"/>
    <x v="11"/>
    <s v="https://www.bizjournals.com/twincities/news/2018/08/16/best-places-to-work-2018-creative-homes-inc.html"/>
    <m/>
    <s v="707 Commerce Dr Ste 410"/>
    <n v="55125"/>
    <n v="44.944938"/>
    <n v="-92.915064999999998"/>
    <m/>
    <m/>
    <m/>
    <m/>
    <m/>
    <m/>
    <m/>
    <m/>
    <s v="Metro"/>
    <x v="0"/>
  </r>
  <r>
    <x v="2"/>
    <d v="2018-08-16T00:00:00"/>
    <x v="134"/>
    <s v="St Paul"/>
    <s v="Ramsey"/>
    <s v="MN"/>
    <s v="2018 Best Places to Work, Mpls St Paul Business Journal. Business: Provides workers with safety gear and training solutions. QUESTION How many people will you hire this year? ANSWER Three to four"/>
    <s v="Headquarters; Manufacturing; Research &amp; Dev"/>
    <m/>
    <n v="4"/>
    <x v="0"/>
    <m/>
    <x v="11"/>
    <x v="1"/>
    <s v="https://www.bizjournals.com/twincities/news/2018/08/16/best-places-to-work-2018-ergodyne.html"/>
    <m/>
    <s v="1021 Bandana Blvd E #220"/>
    <n v="55108"/>
    <n v="44.972039000000002"/>
    <n v="-93.152743999999998"/>
    <m/>
    <m/>
    <m/>
    <m/>
    <m/>
    <m/>
    <m/>
    <m/>
    <s v="Metro"/>
    <x v="0"/>
  </r>
  <r>
    <x v="2"/>
    <d v="2018-08-16T00:00:00"/>
    <x v="135"/>
    <s v="St Louis Park"/>
    <s v="Hennepin"/>
    <s v="MN"/>
    <s v="2018 Best Places to Work, Mpls St Paul Business Journal. Business: Full-service boutique real estate firm. QUESTION How many people will you hire this year, and what do you look for in a prospective employee? ANSWER We will add 50 new jobs during 2018."/>
    <s v="Headquarters"/>
    <m/>
    <n v="50"/>
    <x v="0"/>
    <m/>
    <x v="0"/>
    <x v="2"/>
    <s v="https://www.bizjournals.com/twincities/news/2018/08/16/best-places-to-work-2018-the-excelsior-group.html"/>
    <m/>
    <s v="1660 MN 100 Ste 400"/>
    <n v="55416"/>
    <n v="44.964499000000004"/>
    <n v="-93.345326"/>
    <m/>
    <m/>
    <m/>
    <m/>
    <m/>
    <m/>
    <m/>
    <m/>
    <s v="Metro"/>
    <x v="0"/>
  </r>
  <r>
    <x v="2"/>
    <d v="2018-08-16T00:00:00"/>
    <x v="136"/>
    <s v="Minneapolis"/>
    <s v="Hennepin"/>
    <s v="MN"/>
    <s v="CEO Jim Leslie is continuing as the boss at Flipgrid, in the wake of its acquisition this summer by the education division of huge Microsoft. &quot;I and the entire team are in Minneapolis making Flipgrid the best student voice platform we and our educator community can imagine,&quot; Leslie said in an e-mail message. &quot;Our team of 22 Flipgrid employees is expanding in Minneapolis. We're adding engineers and designers right now!&quot;"/>
    <s v="Headquarters"/>
    <m/>
    <m/>
    <x v="0"/>
    <m/>
    <x v="16"/>
    <x v="9"/>
    <s v="http://www.startribune.com/flipgrid-plans-to-expand-under-microsoft/490912121/"/>
    <m/>
    <s v="251 N 1st Ave Ste 500"/>
    <n v="55401"/>
    <n v="44.985892999999997"/>
    <n v="-93.269371000000007"/>
    <m/>
    <m/>
    <m/>
    <m/>
    <m/>
    <m/>
    <m/>
    <m/>
    <s v="Metro"/>
    <x v="0"/>
  </r>
  <r>
    <x v="2"/>
    <d v="2018-08-16T00:00:00"/>
    <x v="137"/>
    <s v="Duluth"/>
    <s v="St Louis"/>
    <s v="MN"/>
    <s v="2018 Best Places to Work, Mpls St Paul Business Journal. Business: General Contractor. QUESTION How many people will you hire this year, and what do you look for in a prospective employee? ANSWER: Currently, we are planning to add around 20 team members across our three offices in Minneapolis, Duluth and Milwaukee. (Estimate MN share at 15 out of 20)"/>
    <s v="Headquarters"/>
    <m/>
    <n v="15"/>
    <x v="0"/>
    <m/>
    <x v="0"/>
    <x v="11"/>
    <s v="https://www.bizjournals.com/twincities/news/2018/08/16/best-places-to-work-2018-gardner-builders.html"/>
    <m/>
    <s v="2 W 1st St #133"/>
    <n v="55802"/>
    <n v="46.78736"/>
    <n v="-92.099345999999997"/>
    <m/>
    <m/>
    <m/>
    <m/>
    <m/>
    <m/>
    <m/>
    <m/>
    <s v="North"/>
    <x v="0"/>
  </r>
  <r>
    <x v="2"/>
    <d v="2018-08-16T00:00:00"/>
    <x v="138"/>
    <s v="St Paul"/>
    <s v="Ramsey"/>
    <s v="MN"/>
    <s v="2018 Best Places to Work, Mpls St Paul Business Journal. Business: Pediatric specialty health care.QUESTION  How many people will you hire this year, and what do you look for in a prospective employee? ANSWER Gillette will hire about 200 employees this year"/>
    <s v="Headquarters; Healthcare Facility"/>
    <m/>
    <n v="200"/>
    <x v="0"/>
    <m/>
    <x v="0"/>
    <x v="0"/>
    <s v="https://www.bizjournals.com/twincities/news/2018/08/16/best-places-to-work-2018-gillette-childrens.html"/>
    <m/>
    <s v="200 University Ave E"/>
    <n v="55101"/>
    <n v="44.956352000000003"/>
    <n v="-93.095727999999994"/>
    <m/>
    <m/>
    <m/>
    <m/>
    <m/>
    <m/>
    <m/>
    <m/>
    <s v="Metro"/>
    <x v="0"/>
  </r>
  <r>
    <x v="2"/>
    <d v="2018-08-16T00:00:00"/>
    <x v="139"/>
    <s v="Eagan"/>
    <s v="Dakota"/>
    <s v="MN"/>
    <s v="2018 Best Places to Work, Mpls St Paul Business Journal. Business: Software development consulting and training firm. QUESTION  How many people will you hire this year? ANSWER 20"/>
    <s v="Other"/>
    <m/>
    <n v="20"/>
    <x v="0"/>
    <m/>
    <x v="10"/>
    <x v="4"/>
    <s v="https://www.bizjournals.com/twincities/news/2018/08/16/best-places-to-work-2018-intertech-inc.html"/>
    <m/>
    <s v="1020 Discovery Rd"/>
    <n v="55121"/>
    <n v="44.834181999999998"/>
    <n v="-93.141182000000001"/>
    <m/>
    <m/>
    <m/>
    <m/>
    <m/>
    <m/>
    <m/>
    <m/>
    <s v="Metro"/>
    <x v="0"/>
  </r>
  <r>
    <x v="2"/>
    <d v="2018-08-16T00:00:00"/>
    <x v="140"/>
    <s v="Minneapolis"/>
    <s v="Hennepin"/>
    <s v="MN"/>
    <s v="2018 Best Places to Work, Mpls St Paul Business Journal. Business: Mortgage lender. QUESTION  How many people will you hire this year, and what do you look for in a prospective employee? ANSWER On average we hire five to 10 employees per year."/>
    <s v="Office (Non-HQ)"/>
    <m/>
    <n v="10"/>
    <x v="0"/>
    <m/>
    <x v="0"/>
    <x v="6"/>
    <s v="https://www.bizjournals.com/twincities/news/2018/08/16/best-places-to-work-2018-leaderone-financial-corp.html"/>
    <m/>
    <s v="800 Washington Ave N Ste 901"/>
    <n v="55401"/>
    <n v="44.989386000000003"/>
    <n v="-93.278626000000003"/>
    <m/>
    <m/>
    <m/>
    <m/>
    <m/>
    <m/>
    <m/>
    <m/>
    <s v="Metro"/>
    <x v="0"/>
  </r>
  <r>
    <x v="2"/>
    <d v="2018-08-16T00:00:00"/>
    <x v="141"/>
    <s v="Bloomington"/>
    <s v="Hennepin"/>
    <s v="MN"/>
    <s v="2018 Best Places to Work, Mpls St Paul Business Journal. Business: Professional services organization providing managed IT, office technologies and services. QUESTION  How many people will you hire this year, and what do you look for in a prospective employee? ANSWER As we grow at a double-digit rate, our hiring will follow, so likely 50 to 100 team members."/>
    <s v="Manufacturing"/>
    <m/>
    <n v="100"/>
    <x v="0"/>
    <m/>
    <x v="23"/>
    <x v="1"/>
    <s v="https://www.bizjournals.com/twincities/news/2018/08/16/best-places-to-work-2018-loffler-cos-inc.html"/>
    <m/>
    <s v="1101 E 78th St; Ste 200"/>
    <n v="55420"/>
    <n v="44.861657999999998"/>
    <n v="-93.260357999999997"/>
    <m/>
    <m/>
    <m/>
    <m/>
    <m/>
    <m/>
    <m/>
    <m/>
    <s v="Metro"/>
    <x v="0"/>
  </r>
  <r>
    <x v="2"/>
    <d v="2018-08-16T00:00:00"/>
    <x v="142"/>
    <s v="St. Cloud"/>
    <s v="Sherburne"/>
    <s v="MN"/>
    <s v="2018 Best Places to Work, Mpls St Paul Business Journal. Business: Specializes in copiers and printers, business IT services, document management, and audio/video systems. QUESTION  How many people will you hire this year, and what do you look for in a prospective employee? ANSWER Approximately 200 employees will be hired in 2018"/>
    <s v="Headquarters"/>
    <m/>
    <n v="200"/>
    <x v="0"/>
    <m/>
    <x v="10"/>
    <x v="4"/>
    <s v="https://www.bizjournals.com/twincities/news/2018/08/16/best-places-to-work-2018-marco.html"/>
    <m/>
    <s v="4510 Heatherwood Rd"/>
    <n v="56301"/>
    <n v="45.490848"/>
    <n v="-94.147718999999995"/>
    <m/>
    <m/>
    <m/>
    <m/>
    <m/>
    <m/>
    <m/>
    <m/>
    <s v="Central"/>
    <x v="0"/>
  </r>
  <r>
    <x v="2"/>
    <d v="2018-08-16T00:00:00"/>
    <x v="143"/>
    <s v="Austin"/>
    <s v="Mower"/>
    <s v="MN"/>
    <s v="Mayo Clinic Health System announced Thursday that a new birthing center will be built at the Austin campus by 2020. An $11.2 million investment, the new family birthing center will be an expansion in the third-floor space where the Women's Special Care Unit is currently."/>
    <s v="Healthcare Facility"/>
    <n v="11200000"/>
    <m/>
    <x v="0"/>
    <m/>
    <x v="0"/>
    <x v="0"/>
    <s v="http://bit.ly/2MkDzXb, http://tcbmag.com/news/articles/2018/august/mayo-clinic-in-austin-adding-family-birth-center"/>
    <m/>
    <s v="1000 First Dr NW"/>
    <n v="55912"/>
    <n v="43.674433999999998"/>
    <n v="-92.978168999999994"/>
    <m/>
    <m/>
    <m/>
    <m/>
    <s v="Mayo Clinic Health System"/>
    <s v="Rochester"/>
    <s v="MN"/>
    <m/>
    <s v="South"/>
    <x v="0"/>
  </r>
  <r>
    <x v="2"/>
    <d v="2018-08-16T00:00:00"/>
    <x v="144"/>
    <s v="St Paul"/>
    <s v="Ramsey"/>
    <s v="MN"/>
    <s v="2018 Best Places to Work, Mpls St Paul Business Journal. Business: industrial real estate. How many people will you hire this year, and what do you look for in a prospective employee? For 2018-2019, we plan to hire about eight individuals."/>
    <s v="Headquarters"/>
    <m/>
    <n v="8"/>
    <x v="0"/>
    <m/>
    <x v="0"/>
    <x v="2"/>
    <m/>
    <m/>
    <s v="520 Lafayette Rd"/>
    <n v="55155"/>
    <n v="45.0088005"/>
    <n v="-93.206100500000005"/>
    <m/>
    <m/>
    <m/>
    <m/>
    <m/>
    <m/>
    <m/>
    <m/>
    <s v="Central"/>
    <x v="0"/>
  </r>
  <r>
    <x v="2"/>
    <d v="2018-08-16T00:00:00"/>
    <x v="145"/>
    <s v="Minneapolis"/>
    <s v="Hennepin"/>
    <s v="MN"/>
    <s v="2018 Best Places to Work, Mpls St Paul Business Journal. Business: Digital marketing agency. QUESTION  How many people will you hire this year, and what do you look for in a prospective employee? ANSWER The agency has seen consistent year-over-year growth and expects to continue that growth in the coming year. We have already hired nine people in 2018 and plan to hire several more by the end of the year."/>
    <s v="Headquarters"/>
    <m/>
    <m/>
    <x v="0"/>
    <m/>
    <x v="21"/>
    <x v="4"/>
    <s v="https://www.bizjournals.com/twincities/news/2018/08/16/best-places-to-work-2018-nina-hale-inc.html"/>
    <m/>
    <s v="100 South 5th St Ste 2000"/>
    <n v="55402"/>
    <n v="44.978382000000003"/>
    <n v="-93.269256999999996"/>
    <m/>
    <m/>
    <m/>
    <m/>
    <m/>
    <m/>
    <m/>
    <m/>
    <s v="Metro"/>
    <x v="0"/>
  </r>
  <r>
    <x v="2"/>
    <d v="2018-08-16T00:00:00"/>
    <x v="146"/>
    <s v="Minneapolis"/>
    <s v="Hennepin"/>
    <s v="MN"/>
    <s v="Business: Consumer engagement company for the health care industry. QUESTION  How many people will you hire this year, and what do you look for in a prospective employee? ANSWER NovuHealth plans to increase its employee population by about 35 percent this year. MN Employees: 157"/>
    <s v="Headquarters"/>
    <m/>
    <n v="55"/>
    <x v="0"/>
    <m/>
    <x v="10"/>
    <x v="4"/>
    <s v="https://www.bizjournals.com/twincities/news/2018/08/16/best-places-to-work-2018-novuhealth.html"/>
    <m/>
    <s v="5401 Gamble Dr"/>
    <n v="55416"/>
    <n v="44.964787000000001"/>
    <n v="-93.348395999999994"/>
    <m/>
    <m/>
    <m/>
    <m/>
    <m/>
    <m/>
    <m/>
    <m/>
    <s v="Metro"/>
    <x v="0"/>
  </r>
  <r>
    <x v="2"/>
    <d v="2018-08-16T00:00:00"/>
    <x v="147"/>
    <s v="St Paul Park"/>
    <s v="Washington"/>
    <s v="MN"/>
    <s v="Business: Provides payment-processing technologies. QUESTION  How many people will you hire this year, and what do you look for in a prospective employee? ANSWER We estimate about six to 10 people will be hired this year. 2018 Best Places to Work, MSP Business Journal"/>
    <s v="Headquarters"/>
    <m/>
    <n v="10"/>
    <x v="0"/>
    <m/>
    <x v="0"/>
    <x v="6"/>
    <s v="https://www.bizjournals.com/twincities/news/2018/08/16/best-places-to-work-2018-persolvent.html"/>
    <m/>
    <s v="940 Hastings Ave"/>
    <n v="55071"/>
    <n v="44.839314999999999"/>
    <n v="-92.976573999999999"/>
    <m/>
    <m/>
    <m/>
    <m/>
    <m/>
    <m/>
    <m/>
    <m/>
    <s v="Metro"/>
    <x v="0"/>
  </r>
  <r>
    <x v="2"/>
    <d v="2018-08-16T00:00:00"/>
    <x v="148"/>
    <s v="Minneapolis"/>
    <s v="Hennepin"/>
    <s v="MN"/>
    <s v="Business: Big data consulting and managed services firm. QUESTION  How many people will you hire this year, and what do you look for in a prospective employee? ANSWER With growth and expansion across all our divisions, our targeted hiring plan for the remainder of 2018 includes 20 additional hires 2018 Best Places to Work, Mpls St Paul Business Journal"/>
    <s v="Headquarters"/>
    <m/>
    <n v="20"/>
    <x v="0"/>
    <m/>
    <x v="3"/>
    <x v="4"/>
    <s v="https://www.bizjournals.com/twincities/news/2018/08/16/best-places-to-work-2018-phdata-inc.html"/>
    <m/>
    <s v="400 S 4th St Ste 401"/>
    <n v="55413"/>
    <n v="44.992932000000003"/>
    <n v="-93.257911000000007"/>
    <m/>
    <m/>
    <m/>
    <m/>
    <m/>
    <m/>
    <m/>
    <m/>
    <s v="Metro"/>
    <x v="0"/>
  </r>
  <r>
    <x v="2"/>
    <d v="2018-08-16T00:00:00"/>
    <x v="149"/>
    <s v="St Louis Park"/>
    <s v="Hennepin"/>
    <s v="MN"/>
    <s v="Ramboll has opened a new office in Minneapolis, Minnesota, and announced several senior-level appointments in its Americas Division. Based in a new office in Minneapolis, Minnesota, Todd Renville brings decades of consulting experience in due diligence, subsurface investigation, property redevelopment, contaminant hydrogeology, risk-based corrective action (RBCA), remediation and environmental construction management with a focus on large-scale transportation and public works projects."/>
    <s v="Office (Non-HQ)"/>
    <m/>
    <n v="1"/>
    <x v="0"/>
    <m/>
    <x v="15"/>
    <x v="4"/>
    <s v="https://www.marketwatch.com/press-release/ramboll-opens-mexico-city-and-minneapolis-offices-announces-americas-division-senior-hires-2018-08-16"/>
    <m/>
    <s v="1650 West End Blvd Ste 100"/>
    <n v="55416"/>
    <n v="44.966594999999998"/>
    <n v="-93.348313000000005"/>
    <m/>
    <m/>
    <m/>
    <s v="y"/>
    <m/>
    <m/>
    <m/>
    <m/>
    <s v="Metro"/>
    <x v="0"/>
  </r>
  <r>
    <x v="2"/>
    <d v="2018-08-16T00:00:00"/>
    <x v="150"/>
    <s v="Minneapolis"/>
    <s v="Hennepin"/>
    <s v="MN"/>
    <s v="Business: Consulting firm. QUESTION  How many people will you hire this year, and what do you look for in a prospective employee? ANSWER We expect to hire about 60 people this year 2018 Best Places to Work, Mpls St Paul Business Journal"/>
    <s v="Office (Non-HQ)"/>
    <m/>
    <n v="60"/>
    <x v="0"/>
    <m/>
    <x v="3"/>
    <x v="4"/>
    <s v="https://www.bizjournals.com/twincities/news/2018/08/16/best-places-to-work-2018-slalom.html"/>
    <m/>
    <s v="100 S Fifth St 19th floor"/>
    <n v="55402"/>
    <n v="44.978382000000003"/>
    <n v="-93.269256999999996"/>
    <m/>
    <m/>
    <m/>
    <m/>
    <s v="Slalom Consulting - HQ"/>
    <s v="Seattle"/>
    <s v="WA"/>
    <m/>
    <s v="Metro"/>
    <x v="0"/>
  </r>
  <r>
    <x v="2"/>
    <d v="2018-08-16T00:00:00"/>
    <x v="151"/>
    <s v="Minneapolis"/>
    <s v="Hennepin"/>
    <s v="MN"/>
    <s v="QUESTION  How many people will you hire this year, and what do you look for in a prospective employee? ANSWER Our business has been growing exponentially over the past several years, and we expect to continue to hire talented people for the foreseeable future. 2018 Best Places to Work, MSP Business Journal"/>
    <s v="Headquarters"/>
    <m/>
    <m/>
    <x v="0"/>
    <m/>
    <x v="3"/>
    <x v="4"/>
    <s v="https://www.bizjournals.com/twincities/news/2018/08/16/best-places-to-work-2018-sportsengine.html"/>
    <m/>
    <s v="1400 Van Buren St NE"/>
    <n v="55413"/>
    <n v="45.002665"/>
    <n v="-93.248981000000001"/>
    <m/>
    <m/>
    <m/>
    <m/>
    <m/>
    <m/>
    <m/>
    <m/>
    <s v="Metro"/>
    <x v="0"/>
  </r>
  <r>
    <x v="2"/>
    <d v="2018-08-16T00:00:00"/>
    <x v="152"/>
    <s v="Fridley"/>
    <s v="Anoka"/>
    <s v="MN"/>
    <s v="Business: Network infrastructure management and strategic IT consulting company. QUESTION  How many people will you hire this year? ANSWER Three to four 2018 Best Places to Work, MSP Business Journal"/>
    <s v="Headquarters"/>
    <m/>
    <n v="4"/>
    <x v="0"/>
    <m/>
    <x v="3"/>
    <x v="4"/>
    <s v="https://www.bizjournals.com/twincities/news/2018/08/16/best-places-to-work-2018-verus-corp.html"/>
    <m/>
    <s v="6279 University Ave NE"/>
    <n v="55432"/>
    <n v="45.082169999999998"/>
    <n v="-93.262675000000002"/>
    <m/>
    <m/>
    <m/>
    <m/>
    <m/>
    <m/>
    <m/>
    <m/>
    <s v="Metro"/>
    <x v="0"/>
  </r>
  <r>
    <x v="2"/>
    <d v="2018-08-20T00:00:00"/>
    <x v="153"/>
    <s v="Brooklyn Park"/>
    <s v="Hennepin"/>
    <s v="MN"/>
    <s v="Defense contractor NAPCO International could be moving to Brooklyn Park with help from a city tax-increment financing package. Developer Scannell Properties wants to construct a 75,000-square-foot industrial building on a vacant piece of land at 9200 75th Ave. N. for NAPCO, which services and manufacturers military equipment. The city is considering a proposal of $500,000 in TIF. project cost $5.6 million. If approved, 51 jobs relocated from Hopkins to Brooklyn Park. Nov 2018: $110K JCF"/>
    <s v="Headquarters"/>
    <n v="5600000"/>
    <n v="18"/>
    <x v="0"/>
    <n v="75000"/>
    <x v="5"/>
    <x v="5"/>
    <s v="https://www.bizjournals.com/twincities/news/2018/08/20/defense-contractor-would-move-from-hopkins-to.html"/>
    <m/>
    <s v="11055 Excelsior Blvd"/>
    <n v="55343"/>
    <n v="44.920309000000003"/>
    <n v="-93.420356999999996"/>
    <s v="Government Financing"/>
    <m/>
    <m/>
    <m/>
    <m/>
    <m/>
    <m/>
    <m/>
    <s v="Metro"/>
    <x v="0"/>
  </r>
  <r>
    <x v="2"/>
    <d v="2018-08-20T00:00:00"/>
    <x v="154"/>
    <s v="North Mankato"/>
    <s v="Nicollet"/>
    <s v="MN"/>
    <s v="The North Mankato Port Authority approved a $300,000 loan to the radio engineering firm to apply to buying a bldg for $1.3 million. NextGen RF Design will move from Waseca to a 11,700 SF building at 2130 Howard Dr. The company already has secured $600,000 in equity and bank loans but needed another $300,000 to complete the purchase and make minor renovations. Tholen said the company has plans to move this fall. Currently:12 employees. Plan to add 8-10 jobs, 3 yrs.Minor renovation cost: $1,300."/>
    <s v="Headquarters; Manufacturing"/>
    <n v="1300000"/>
    <n v="10"/>
    <x v="0"/>
    <m/>
    <x v="15"/>
    <x v="4"/>
    <s v="http://www.mankatofreepress.com/news/local_news/n-mankato-oks-k-loan-for-incoming-business/article_4f7c493e-a4dc-11e8-b7be-3bdb636e79b4.html"/>
    <m/>
    <s v="2130 Howard Dr"/>
    <n v="56003"/>
    <n v="44.184362"/>
    <n v="-94.059325000000001"/>
    <s v="Government Financing"/>
    <m/>
    <m/>
    <m/>
    <m/>
    <m/>
    <m/>
    <m/>
    <s v="South"/>
    <x v="0"/>
  </r>
  <r>
    <x v="2"/>
    <d v="2018-08-21T00:00:00"/>
    <x v="155"/>
    <s v="Mendota Heights"/>
    <s v="Dakota"/>
    <s v="MN"/>
    <s v="Alorica Inc. is hiring 550 people to work at its Mendota Heights call center, a move that will more than double the global firm's presence in the Twin Cities. The expansion comes thanks to a new client, a travel company, as well as existing health care clients that are growing, said Alorica Senior Site Director Kevin Greer. He would not identify the client, but said it's not a locally based company. Currently 350 staff. Star Tribune NOV 2018 Update: Hiring for 300 new positions."/>
    <s v="Call Center"/>
    <m/>
    <n v="300"/>
    <x v="0"/>
    <m/>
    <x v="31"/>
    <x v="15"/>
    <s v="https://www.bizjournals.com/twincities/news/2018/08/21/call-center-adding-550-jobs-in-mendota-heights.html"/>
    <m/>
    <s v="1500 Commerce Dr"/>
    <n v="55120"/>
    <n v="44.872740999999998"/>
    <n v="-93.171828000000005"/>
    <m/>
    <m/>
    <m/>
    <m/>
    <m/>
    <m/>
    <m/>
    <m/>
    <s v="Metro"/>
    <x v="0"/>
  </r>
  <r>
    <x v="2"/>
    <d v="2018-08-21T00:00:00"/>
    <x v="156"/>
    <s v="Minneapolis"/>
    <s v="Hennepin"/>
    <s v="MN"/>
    <s v="The Boston Consulting Group's new downtown Minneapolis office uses natural materials like wood and moss to impart an up-north feel while staying true to the refined theme of the global company. It also more than doubles the space of the firm's local operations, with plans for future growth in mind. The new office is about 20,000 square feet; the company's last space was about 9,000."/>
    <s v="Office (Non-HQ)"/>
    <m/>
    <m/>
    <x v="0"/>
    <n v="11000"/>
    <x v="10"/>
    <x v="4"/>
    <s v="https://www.bizjournals.com/twincities/news/2018/08/21/cool-offices-boston-consulting-groups-downtown.html"/>
    <m/>
    <s v="60 South 6th St Ste 2300"/>
    <n v="55402"/>
    <n v="44.977682999999999"/>
    <n v="-93.270872999999995"/>
    <m/>
    <m/>
    <m/>
    <m/>
    <s v="Boston Consulting Group"/>
    <s v="Chicago"/>
    <s v="IL"/>
    <m/>
    <s v="Metro"/>
    <x v="0"/>
  </r>
  <r>
    <x v="2"/>
    <d v="2018-08-21T00:00:00"/>
    <x v="157"/>
    <s v="St Paul"/>
    <s v="Ramsey"/>
    <s v="MN"/>
    <s v="Gene-editing startup Recombinetics Inc. has closed on $34 million in funding that will go partly toward accelerating development of its &quot;oinkubator&quot; technology, which could eventually let scientists grow human organs inside pigs. Recombinetics uses gene-editing technology to customize animals for the agribusiness and biomedical markets. In addition to R&amp;D, the company will also apply raised capital toward hiring scientists, and sales and marketing people. Plans to expand lab, other facilities"/>
    <s v="Headquarters; Research &amp; Dev"/>
    <m/>
    <m/>
    <x v="0"/>
    <m/>
    <x v="9"/>
    <x v="4"/>
    <s v="https://www.bizjournals.com/twincities/news/2018/08/21/recombinetics-raises-34m-for-oinkubators-hiring.html"/>
    <m/>
    <s v="1246 University Ave W Ste 301"/>
    <n v="56001"/>
    <n v="44.955219"/>
    <n v="-93.152617000000006"/>
    <m/>
    <m/>
    <m/>
    <m/>
    <m/>
    <m/>
    <m/>
    <m/>
    <s v="Metro"/>
    <x v="0"/>
  </r>
  <r>
    <x v="2"/>
    <d v="2018-08-22T00:00:00"/>
    <x v="158"/>
    <s v="Pierz"/>
    <s v="Morrison"/>
    <s v="MN"/>
    <s v="Tom and Jenni Smude plan to expand their manufacturing facility to 75,000 square feet. Sales of Smude's Sunflower Oil, including increased demand for bulk oil from high-end pet-food manufacturers, and a separate year-old microwave popcorn product, should increase revenue this year by more than 50% to around $5 million, on the heels of 60% growth in 2017. Plant expansion and additional sales should add 10 jobs. MIF Award $300K to related entity Midwest Processors."/>
    <s v="Headquarters; Manufacturing"/>
    <n v="3340960"/>
    <n v="10"/>
    <x v="0"/>
    <n v="50000"/>
    <x v="1"/>
    <x v="1"/>
    <s v="http://www.startribune.com/smude-s-sunflower-oil-is-doubling-down-on-big-expansion-in-little-pierz-minn/491158441/"/>
    <m/>
    <s v="25804 173rd St"/>
    <n v="56364"/>
    <n v="46.012689000000002"/>
    <n v="-94.118663999999995"/>
    <s v="Government Financing"/>
    <m/>
    <m/>
    <m/>
    <s v="Midwest Processors"/>
    <s v="Pierz"/>
    <s v="MN"/>
    <m/>
    <s v="Central"/>
    <x v="0"/>
  </r>
  <r>
    <x v="2"/>
    <d v="2018-08-22T00:00:00"/>
    <x v="159"/>
    <s v="Plymouth"/>
    <s v="Hennepin"/>
    <s v="MN"/>
    <s v="Urotronic Inc., a startup launched by med-tech inventor and Lutonix Inc. co-founder Lixiao Wang, has closed on $20 million in venture capital to fund clinical studies and ramp up hiring. Plymouth-based Urotronic plans to devote the capital partly toward roughy doubling its 14-person staff, said company President David Perry. The $20 million raised by Urotronic will be used to expand the company's staff and manufacturing space and to complete the clinical trials"/>
    <s v="Headquarters; Manufacturing"/>
    <m/>
    <n v="14"/>
    <x v="0"/>
    <m/>
    <x v="11"/>
    <x v="1"/>
    <s v="https://www.bizjournals.com/twincities/news/2018/08/22/med-tech-startup-urotronic-raises-20-million-for.html; http://www.startribune.com/urotronic-raises-20m-to-complete-device-trials-expand-manufacturing/491848161/"/>
    <m/>
    <s v="13705 26th Ave North Ste 102"/>
    <n v="55441"/>
    <n v="45.007046000000003"/>
    <n v="-93.453598"/>
    <s v="Venture Capital"/>
    <m/>
    <m/>
    <s v="y"/>
    <m/>
    <m/>
    <m/>
    <m/>
    <s v="Metro"/>
    <x v="0"/>
  </r>
  <r>
    <x v="2"/>
    <d v="2018-08-23T00:00:00"/>
    <x v="160"/>
    <s v="St Paul"/>
    <s v="Ramsey"/>
    <s v="MN"/>
    <s v="A large Hawaii-based coffee roaster is looking to acquire to a slice of the old Hamm's brewery complex directly overlooking the northern edge of Swede Hollow in St. Paul -- and, if things go well, open a top-floor café overlooking the park. Euram Inc., which does business as Hawaiian Paradise Coffee, is looking to renovate the dilapidated 30,000-square-foot building at 680 Minnehaha Avenue and turn it into a production and distribution front."/>
    <s v="Manufacturing"/>
    <n v="1000000"/>
    <n v="38"/>
    <x v="0"/>
    <m/>
    <x v="1"/>
    <x v="1"/>
    <s v="https://www.twincities.com/2018/08/22/hawaii-coffee-maker-looking-to-acquire-hamms-building-in-st-paul-and-maybe-add-a-cafe/; http://www.startribune.com/buyer-wants-to-roast-hawaiian-coffee-beans-in-building-where-hamm-s-dried-grain/492120611/"/>
    <m/>
    <s v="680 Minnehaha"/>
    <n v="55106"/>
    <n v="44.962825000000002"/>
    <n v="-93.072188999999995"/>
    <m/>
    <m/>
    <m/>
    <m/>
    <m/>
    <m/>
    <m/>
    <m/>
    <s v="Metro"/>
    <x v="0"/>
  </r>
  <r>
    <x v="2"/>
    <d v="2018-08-24T00:00:00"/>
    <x v="161"/>
    <s v="Minneapolis"/>
    <s v="Hennepin"/>
    <s v="MN"/>
    <s v="A proposed amphitheater on the Mississippi riverfront at the Upper Harbor Terminal in North Minneapolis is taking shape with updated renderings and plans. First Avenue will operate the new venue. The Upper Harbor Terminal Community Performing Arts Center (CPAC) would sit on the river just two miles north of downtown. A steel structure called ?the Gantry? would hold a majority of CPAC?s 6,000 fixed seats, and open space for 4,000 additional people. Est. 269 operations jobs, 559 construction jobs."/>
    <s v="Other"/>
    <m/>
    <n v="269"/>
    <x v="0"/>
    <m/>
    <x v="0"/>
    <x v="12"/>
    <s v="https://blog.thecurrent.org/2018/08/seeing-stars-first-avenues-proposed-minneapolis-riverfront-amphitheater-moves-forward/"/>
    <m/>
    <s v="North 2nd St"/>
    <n v="55412"/>
    <n v="45.023845999999999"/>
    <n v="-93.280821000000003"/>
    <m/>
    <m/>
    <m/>
    <m/>
    <s v="First Avenue"/>
    <s v="Minneapolis"/>
    <s v="MN"/>
    <m/>
    <s v="Metro"/>
    <x v="0"/>
  </r>
  <r>
    <x v="2"/>
    <d v="2018-08-24T00:00:00"/>
    <x v="162"/>
    <s v="Savage"/>
    <s v="Dakota"/>
    <s v="MN"/>
    <s v="MIF $300K, 75 new jobs, $1.2 million investment, JCF $700K (Could not find other public info or details in August. But see 11/21/18 Company news.)"/>
    <s v="Headquarters"/>
    <n v="1232098"/>
    <n v="75"/>
    <x v="0"/>
    <m/>
    <x v="4"/>
    <x v="1"/>
    <s v="n/a"/>
    <m/>
    <s v="980 Lone Oak Rd Ste 128"/>
    <n v="55121"/>
    <n v="44.845976"/>
    <n v="-93.137975999999995"/>
    <s v="Government Financing"/>
    <m/>
    <m/>
    <m/>
    <m/>
    <m/>
    <m/>
    <m/>
    <s v="Metro"/>
    <x v="0"/>
  </r>
  <r>
    <x v="2"/>
    <d v="2018-08-25T00:00:00"/>
    <x v="163"/>
    <s v="Bloomington"/>
    <s v="Hennepin"/>
    <s v="MN"/>
    <s v="One of Minnesota's handful of chipmakers, SkyWater Technology, was recently selected by the Defense Advanced Research Projects Agency, or DARPA, to work with it and MIT on one of the most promising ideas to keep pushing chip designs and computing forward. The Bloomington company for the next three years will help DARPA and MIT engineer and test processes to manufacture chips that have circuitry on more than one plane. SkyWater is growing; nearly 100 employees have been added since last year"/>
    <s v="Manufacturing"/>
    <m/>
    <m/>
    <x v="0"/>
    <m/>
    <x v="23"/>
    <x v="1"/>
    <s v="http://www.startribune.com/at-skywater-a-project-with-darpa-could-reshape-the-fortunes-of-a-minnesota-chip-factory/491645971/"/>
    <m/>
    <s v="2401 E 86th St"/>
    <n v="55425"/>
    <n v="44.847811999999998"/>
    <n v="-93.237697999999995"/>
    <m/>
    <m/>
    <m/>
    <m/>
    <m/>
    <m/>
    <m/>
    <m/>
    <s v="Metro"/>
    <x v="0"/>
  </r>
  <r>
    <x v="2"/>
    <d v="2018-08-28T00:00:00"/>
    <x v="164"/>
    <s v="Rochester"/>
    <s v="Olmsted"/>
    <s v="MN"/>
    <s v="A Rochester startup co-led by a former IBM and Mayo Clinic computer scientist is getting ready to roll out a new technology platform aimed at speeding up and lowering the cost of whole-genome sequencing, seen as a key step toward the widespread adoption of personalized medicine. CompStor uses a unique, tiered memory configuration. Chief Technology Officer Jon Coker said the three-year-old firm now has 15 employees and is actively hiring as it prepares to roll out CompStor to new customers."/>
    <s v="Manufacturing; Research &amp; Dev"/>
    <m/>
    <m/>
    <x v="0"/>
    <m/>
    <x v="11"/>
    <x v="1"/>
    <s v="http://tcbmag.com/news/articles/2018/august/rochester-startup-omnitier-looks-to-speed-up-whole-genome-sequencing"/>
    <m/>
    <s v="2720 Superior Dr NW Ste 101"/>
    <n v="55901"/>
    <n v="44.05189"/>
    <n v="-92.523916999999997"/>
    <m/>
    <m/>
    <m/>
    <m/>
    <m/>
    <m/>
    <m/>
    <m/>
    <s v="South"/>
    <x v="0"/>
  </r>
  <r>
    <x v="2"/>
    <d v="2018-08-28T00:00:00"/>
    <x v="165"/>
    <s v="Minneapolis"/>
    <s v="Hennepin"/>
    <s v="MN"/>
    <s v="Planned Parenthood leaders expect the patient load will eventually triple at its Uptown Minneapolis location after a new clinic is completed in late 2019 or early 2020. The project is already well along in its development. Planned Parenthood is proposing a three-story, 58,400-square-foot clinic at 1210 Lagoon Ave., the site of its one-story clinic for more than 20 years. Davis Group will develop the $14 million project, but PP will own the completed building."/>
    <s v="Healthcare Facility"/>
    <n v="14000000"/>
    <m/>
    <x v="0"/>
    <n v="38900"/>
    <x v="0"/>
    <x v="0"/>
    <m/>
    <m/>
    <s v="1200 Lagoon Ave"/>
    <n v="55408"/>
    <n v="44.949010000000001"/>
    <n v="-93.294441000000006"/>
    <m/>
    <m/>
    <m/>
    <m/>
    <s v="Planned Parenthood"/>
    <s v="Manhattan"/>
    <s v="NY"/>
    <m/>
    <s v="Metro"/>
    <x v="0"/>
  </r>
  <r>
    <x v="2"/>
    <d v="2018-08-28T00:00:00"/>
    <x v="166"/>
    <s v="St Paul"/>
    <s v="Ramsey"/>
    <s v="MN"/>
    <s v="Vomela Companies will build a new corporate headquarters on 3M's former campus on the east side of St. Paul. The new 300,000-square-foot building will allow the specialty graphics services firm to consolidate four Twin Cities facilities into one location. About 252,000 SF of production space; 47,500 of office space. New space will bring more than 300 Minnesota employees under one roof for the first time. Expected completion 2019"/>
    <s v="Headquarters; Other"/>
    <m/>
    <m/>
    <x v="0"/>
    <n v="300000"/>
    <x v="19"/>
    <x v="4"/>
    <s v="http://www.startribune.com/vomela-companies-starts-construction-on-new-st-paul-headquarters/491897181/; https://www.bizjournals.com/twincities/news/2018/08/27/vomela-building-300-000-square-foot-hq-at-site-of.html"/>
    <m/>
    <s v="274 Fillmore Ave E"/>
    <n v="55107"/>
    <n v="44.942793999999999"/>
    <n v="-93.078702000000007"/>
    <m/>
    <m/>
    <m/>
    <m/>
    <m/>
    <m/>
    <m/>
    <m/>
    <s v="Metro"/>
    <x v="0"/>
  </r>
  <r>
    <x v="3"/>
    <d v="2018-09-04T00:00:00"/>
    <x v="167"/>
    <s v="Minnetonka"/>
    <s v="Hennepin"/>
    <s v="MN"/>
    <s v="Carlson is planning a multimillion dollar upgrade to its 30-year-old Minnetonka office tower and is opening 58,000 SF of its longtime headquarters building to other tenants. The gold-colored tower at 701 Carlson Pkwy. is one of two along Interstate 394 and still houses Carlson?s Wagonlit Travel business as well as other family businesses. Renovation will begin this fall and wrap up in 2020. DEED JCF Award $450,000 (2/2019)"/>
    <s v="Headquarters"/>
    <n v="9250000"/>
    <n v="75"/>
    <x v="0"/>
    <m/>
    <x v="14"/>
    <x v="7"/>
    <s v="https://www.bizjournals.com/twincities/news/2018/09/04/carlson-will-renovate-minnetonka-tower-opening.html"/>
    <m/>
    <s v="701 Carlson Pky"/>
    <n v="55305"/>
    <n v="44.972599000000002"/>
    <n v="-93.4657974"/>
    <m/>
    <m/>
    <m/>
    <m/>
    <m/>
    <m/>
    <m/>
    <m/>
    <s v="Metro"/>
    <x v="0"/>
  </r>
  <r>
    <x v="2"/>
    <d v="2018-09-05T00:00:00"/>
    <x v="168"/>
    <s v="Paynesville"/>
    <s v="Stearns"/>
    <s v="MN"/>
    <s v="AMPI is currently upgrading its Paynesville, Minn., plant to incorporate new vats and other cheesemaking equipment. The project will increase cheese production from 2.4 million pounds a day to 3 million pounds a day, Sr VP of Operations Mike Wolkow said. The production of whey protein concentrate, 34 and 80, will increase as well. (Per DEED BDPI award to Paynesville in 2019 - 3 new jobs, 82 retained jobs)"/>
    <s v="Manufacturing"/>
    <m/>
    <n v="3"/>
    <x v="5"/>
    <m/>
    <x v="1"/>
    <x v="1"/>
    <s v="https://www.dairyfoods.com/articles/93115-ampi---the-powerhouse-behind-the-dairy-brands"/>
    <m/>
    <s v="200 Railroad St"/>
    <n v="56362"/>
    <n v="45.382999400000003"/>
    <n v="-94.714897199999996"/>
    <s v="Government Financing"/>
    <m/>
    <m/>
    <m/>
    <s v="Associated Milk Producers Inc"/>
    <s v="New Ulm"/>
    <s v="MN"/>
    <m/>
    <s v="Central"/>
    <x v="0"/>
  </r>
  <r>
    <x v="2"/>
    <d v="2018-09-06T00:00:00"/>
    <x v="169"/>
    <s v="Minneapolis"/>
    <s v="Hennepin"/>
    <s v="MN"/>
    <s v="Open Door Labs Inc., a San Francisco-based real estate technology startup, operates in 13 markets across the country; the Twin Cities, the latest market, will see an official launch next week. Opendoor says it can provide sellers an offer on their homes in under 48 hours, assuming the sellers provide basic details about the home. It makes money by charging on average a 6.5 percent fee on the sale. Opendoor has hired eight employees to direct the expansion, and is recruiting seven more in Mpls"/>
    <s v="Office (Non-HQ)"/>
    <m/>
    <n v="7"/>
    <x v="0"/>
    <m/>
    <x v="0"/>
    <x v="2"/>
    <s v="https://www.bizjournals.com/twincities/news/2018/09/06/what-opendoor-brings-to-twin-cities-new-tech-deep.html"/>
    <m/>
    <s v="n/a"/>
    <n v="55401"/>
    <n v="44.984577000000002"/>
    <n v="-93.269097000000002"/>
    <m/>
    <m/>
    <m/>
    <m/>
    <s v="OpenDoor"/>
    <s v="San Francisco"/>
    <s v="CA"/>
    <m/>
    <s v="Metro"/>
    <x v="0"/>
  </r>
  <r>
    <x v="2"/>
    <d v="2018-09-10T00:00:00"/>
    <x v="170"/>
    <s v="St Paul"/>
    <s v="Ramsey"/>
    <s v="MN"/>
    <s v="Minnetronix, a 22-year-old medical technology business based in St. Paul, has long specialized as a contract manufacturer, building med-tech devices designed by other firms. It's now growing beyond that role with a new product developed in-house. Minnetronix has opened a new, 125,000-square-foot engineering and manufacturing space. It's undergone a modest rebranding, renaming as Minnetronix Medical. Update 2/4/2019 Per DEED: 89 new jobs, 287 retained IBDPI grant to St. Paul $587,881 for pkg lot"/>
    <s v="Headquarters"/>
    <m/>
    <n v="89"/>
    <x v="6"/>
    <n v="125000"/>
    <x v="11"/>
    <x v="1"/>
    <s v="https://www.bizjournals.com/twincities/news/2018/09/10/contract-manufacturer-minnetronix-has-a-new-med.html"/>
    <s v="MSP Business Journal"/>
    <s v="1635 Energy Park Dr"/>
    <n v="55108"/>
    <n v="44.9712982"/>
    <n v="-93.171402"/>
    <s v="Government Financing"/>
    <s v="BDPI-Innovative ($858K), JCF ($500K), MIF ($500K)"/>
    <s v="=1857881"/>
    <m/>
    <m/>
    <m/>
    <m/>
    <m/>
    <s v="Metro"/>
    <x v="0"/>
  </r>
  <r>
    <x v="2"/>
    <d v="2018-09-11T00:00:00"/>
    <x v="171"/>
    <s v="Brooklyn Park"/>
    <s v="Hennepin"/>
    <s v="MN"/>
    <s v="Med-tech startup 4C Medical Technologies Inc. has closed on a $17 million round of funding that will go toward product development. The business has about 15 employees today and will be adding between six and 10 more over next year. 4C is also hunting for larger digs. The company leases about 2,500 square feet today and will be looking for 20,000 square feet for a new office, CEO Bob Thatcher said."/>
    <s v="Headquarters; Manufacturing; Research &amp; Dev"/>
    <m/>
    <n v="10"/>
    <x v="0"/>
    <m/>
    <x v="11"/>
    <x v="1"/>
    <s v="https://www.bizjournals.com/twincities/news/2018/09/11/med-tech-startup-4c-medical-technologies-nabs-17.html"/>
    <m/>
    <s v="7600 Boone Ave N Ste 7"/>
    <n v="55428"/>
    <n v="45.091639999999998"/>
    <n v="-93.391349000000005"/>
    <m/>
    <m/>
    <m/>
    <m/>
    <m/>
    <m/>
    <m/>
    <m/>
    <s v="Metro"/>
    <x v="0"/>
  </r>
  <r>
    <x v="2"/>
    <d v="2018-09-11T00:00:00"/>
    <x v="172"/>
    <s v="Tower"/>
    <s v="St Louis"/>
    <s v="MN"/>
    <s v="Lamppa Manufacturing, a producer of wood burning sauna stoves and furnaces, is remaining in Tower but moving its operations into a bigger, newer building through a lease agreement with the city. Its new home will be 9,000 square feet (up from 1,800 SF), allowing for a 500 percent increase in production and the potential to triple or quadruple its staff over the next couple years. Lamppa currently employs eight full-time workers. $1.8 million new bldg will be built. $1.85 million IRRRB loan."/>
    <s v="Headquarters; Manufacturing"/>
    <n v="1800000"/>
    <m/>
    <x v="0"/>
    <n v="9000"/>
    <x v="4"/>
    <x v="1"/>
    <s v="http://tcbmag.com/news/articles/2018/september/lamppa-manufacturing-co-expanding-with-move-to-ne"/>
    <m/>
    <s v="512 3rd St S"/>
    <n v="55790"/>
    <n v="47.803114999999998"/>
    <n v="-92.275683000000001"/>
    <s v="Government Financing"/>
    <m/>
    <m/>
    <m/>
    <m/>
    <m/>
    <m/>
    <m/>
    <s v="North"/>
    <x v="0"/>
  </r>
  <r>
    <x v="2"/>
    <d v="2018-09-14T00:00:00"/>
    <x v="173"/>
    <s v="Eden Prairie"/>
    <s v="Hennepin"/>
    <s v="MN"/>
    <s v="Eden Prairie-based Milk Specilaties Global specializes in isolating the various components in milk and then manufacturing new products for human and animal consumption. Think super milk without sugar, lactose and fat. The company also takes those unhealthy components and manufactures them into products such as animal feed. 2017 revenues were of $747 million, up about $100 million from two years ago. The company has about 200 employees in MN, and looking to hire more at HQ. (Companywide:850)"/>
    <s v="Headquarters"/>
    <m/>
    <m/>
    <x v="0"/>
    <m/>
    <x v="1"/>
    <x v="1"/>
    <s v="https://www.bizjournals.com/twincities/news/2018/09/14/milk-specialties-global-is-local-but-growing.html"/>
    <m/>
    <s v="7500 Flying Cloud Dr"/>
    <n v="55344"/>
    <n v="44.867426000000002"/>
    <n v="-93.415473000000006"/>
    <m/>
    <m/>
    <m/>
    <m/>
    <m/>
    <m/>
    <m/>
    <m/>
    <s v="Metro"/>
    <x v="0"/>
  </r>
  <r>
    <x v="2"/>
    <d v="2018-09-19T00:00:00"/>
    <x v="174"/>
    <s v="St Louis Park"/>
    <s v="Hennepin"/>
    <s v="MN"/>
    <s v="Life Time Inc. will open its new coworking concept in the Towers at West End's 1600 building in St. Louis Park. The Chanhassen-based company signed a lease for 28,000 square feet on the ninth floor of the building and will open in early 2019, according to a Life Time spokeswoman. O'Reilly said he thinks Life Time could open 40 to 50 of the coworking spaces in the next five years. "/>
    <s v="Office (Non-HQ); Other"/>
    <m/>
    <m/>
    <x v="0"/>
    <n v="28000"/>
    <x v="0"/>
    <x v="2"/>
    <m/>
    <m/>
    <s v="1600 Utica Ave S"/>
    <n v="55416"/>
    <n v="44.966161999999997"/>
    <n v="-93.345726999999997"/>
    <m/>
    <m/>
    <m/>
    <m/>
    <s v="Life Time Inc"/>
    <s v="Chanhassen"/>
    <s v="MN"/>
    <m/>
    <s v="Metro"/>
    <x v="0"/>
  </r>
  <r>
    <x v="2"/>
    <d v="2018-09-20T00:00:00"/>
    <x v="175"/>
    <s v="Minneapolis"/>
    <s v="Hennepin"/>
    <s v="MN"/>
    <s v="Bank of America Corp. has made substantial inroads into the Twin Cities market as of late after shying away from the area for decades. In 2015, the bank says it was the 80th-largest bank in the Twin Cities based on metro-area deposits. Now it cracks the top 10 with $1.4 billion. Katie Simpson: &quot;In all, we have 14 brick-and-mortar locations. We now have about 500 employees in the market. We're in growth mode in the Twin Cities. I can't give you specific numbers in terms of growth plans.&quot;"/>
    <s v="Office (Non-HQ)"/>
    <m/>
    <m/>
    <x v="0"/>
    <m/>
    <x v="0"/>
    <x v="6"/>
    <s v="https://www.bizjournals.com/twincities/news/2018/09/20/bank-of-americas-local-market-president-talks.html"/>
    <m/>
    <s v="80 S 8th St STE 266"/>
    <n v="55402"/>
    <n v="44.975459999999998"/>
    <n v="-93.272667999999996"/>
    <m/>
    <m/>
    <m/>
    <m/>
    <s v="Bank of America"/>
    <s v="Charlotte"/>
    <s v="NC"/>
    <m/>
    <s v="Metro"/>
    <x v="0"/>
  </r>
  <r>
    <x v="2"/>
    <d v="2018-09-21T00:00:00"/>
    <x v="176"/>
    <s v="North Mankato"/>
    <s v="Nicollet"/>
    <s v="MN"/>
    <s v="Update by DEED. Jobs and Investment data. Confirm previous preliminary plans."/>
    <s v="Manufacturing"/>
    <n v="10500000"/>
    <n v="50"/>
    <x v="0"/>
    <n v="85000"/>
    <x v="4"/>
    <x v="1"/>
    <m/>
    <m/>
    <m/>
    <n v="56003"/>
    <n v="44.173299999999998"/>
    <n v="-94.033844999999999"/>
    <m/>
    <m/>
    <m/>
    <m/>
    <s v="Blue Star Power Systems"/>
    <s v="Lake Crystal"/>
    <s v="MN"/>
    <m/>
    <s v="South"/>
    <x v="0"/>
  </r>
  <r>
    <x v="2"/>
    <d v="2018-09-27T00:00:00"/>
    <x v="177"/>
    <s v="St Paul"/>
    <s v="Ramsey"/>
    <s v="MN"/>
    <s v="Electronics recycler Tech Dump has reached a deal to buy a 90,000-square-foot building in St. Paul, a move that will more than double the nonprofit's space. Tech dump has 48 employees and wants to double its staff by 2022, the organization said in a news release. Tech Dump, which also provides jobs and training to ex-offenders and people recovering from drug addiction, has signed a purchase agreement to buy the property at 860 Vandalia St. Funds incl: $130K City of St. Paul; $170K city loan"/>
    <s v="Other"/>
    <m/>
    <n v="48"/>
    <x v="0"/>
    <m/>
    <x v="5"/>
    <x v="5"/>
    <s v="http://tcbmag.com/news/articles/2018/september/electronics-recycler-tech-dump-more-than-doubling-in-size-with-expansion-into-st-paul-building"/>
    <m/>
    <s v="698 Prior Ave N"/>
    <n v="55104"/>
    <n v="44.961719000000002"/>
    <n v="-93.181894"/>
    <s v="Government Financing"/>
    <m/>
    <m/>
    <m/>
    <m/>
    <m/>
    <m/>
    <m/>
    <s v="Metro"/>
    <x v="0"/>
  </r>
  <r>
    <x v="3"/>
    <d v="2018-10-03T00:00:00"/>
    <x v="178"/>
    <s v="Columbus"/>
    <s v="Anoka"/>
    <s v="MN"/>
    <s v="JP Ecommerce requests a conditional use permit to allow a production, assembly, warehousing, distribution service facility (Bare Home). Josh Pribyl from Bare Home: &quot;&quot;we are a bedding company. We have our brand of bed sheets,comforters, blankets, mattress pads, that we get manufactured in our brand overseas. The new facility would be a distribution center and showroom. MIF funds $964,500"/>
    <s v="Distribution Center; Retail"/>
    <n v="7009676"/>
    <n v="60"/>
    <x v="0"/>
    <m/>
    <x v="0"/>
    <x v="16"/>
    <s v="https://www.ci.columbus.mn.us/vertical/sites/%7B3E6BBFCC-1CDD-4B18-AFB1-2CB97872D422%7D/uploads/PC-18-122_and_123_JP_Ecommerce_Plat_and_CUP.pdf"/>
    <m/>
    <s v="Hornsby St"/>
    <n v="55014"/>
    <n v="45.2652"/>
    <n v="-93.050200000000004"/>
    <s v="Government Financing"/>
    <m/>
    <m/>
    <m/>
    <s v="JP Ecommerce"/>
    <s v="Blaine"/>
    <s v="MN"/>
    <m/>
    <s v="Metro"/>
    <x v="0"/>
  </r>
  <r>
    <x v="3"/>
    <d v="2018-10-03T00:00:00"/>
    <x v="179"/>
    <s v="Minneapolis"/>
    <s v="Hennepin"/>
    <s v="MN"/>
    <s v="Health-tech company Provation Medical Inc. is out from under the umbrella of its former long-time Dutch parent company and headed toward the cloud. The maker of medical-documentation software launched as a homegrown Twin Cities startup in the mid-1990s, before Dutch information-services company Wolters Kluwer bought it in 2006. 170 of Provation''s employees were based in Minneapolis' North Loop area. WK sold it in 3/2018. Provation will also add jobs as it ramps up marketing efforts."/>
    <m/>
    <m/>
    <m/>
    <x v="0"/>
    <m/>
    <x v="3"/>
    <x v="4"/>
    <s v="https://www.bizjournals.com/twincities/news/2018/10/03/independent-once-again-health-tech-company.html"/>
    <m/>
    <s v="800 Washington Ave N #1006"/>
    <n v="55401"/>
    <n v="44.989386000000003"/>
    <n v="-93.278626000000003"/>
    <m/>
    <m/>
    <m/>
    <m/>
    <m/>
    <m/>
    <m/>
    <m/>
    <s v="Metro"/>
    <x v="0"/>
  </r>
  <r>
    <x v="3"/>
    <d v="2018-10-04T00:00:00"/>
    <x v="180"/>
    <s v="New Ulm"/>
    <s v="Brown"/>
    <s v="MN"/>
    <s v="3M Co. will shut down an electrical plant in Austin, Texas, shifting the work and maybe some jobs to a facility in New Ulm, Minn. announced the plan to close the smaller of two Austin facilities by the end of 2019. The plant employs 120 workers who make copper and fiber connectivity products for the utility sector. 3M's New Ulm facility would take over production, and may add some jobs as it absorbs the extra work. This follows 3M's sale of its fiber &amp; copper cabling mfg business"/>
    <m/>
    <m/>
    <m/>
    <x v="0"/>
    <m/>
    <x v="18"/>
    <x v="1"/>
    <s v="https://www.bizjournals.com/twincities/news/2018/10/04/3m-closing-plant-in-texas-shifting-work-to.html"/>
    <m/>
    <s v="1700 N Minnesota St"/>
    <n v="56073"/>
    <n v="44.329977"/>
    <n v="-94.474952000000002"/>
    <m/>
    <m/>
    <m/>
    <m/>
    <s v="3M Co"/>
    <s v="Maplewood"/>
    <s v="MN"/>
    <m/>
    <s v="South"/>
    <x v="0"/>
  </r>
  <r>
    <x v="3"/>
    <d v="2018-10-09T00:00:00"/>
    <x v="181"/>
    <s v="Minneapolis"/>
    <s v="Hennepin"/>
    <s v="MN"/>
    <s v="Perforce Software will buy Boston area software-testing firm Perfecto Mobile in a deal worth about $200 million. Perfecto adds a critical component to our DevOps capabilities allowing Perforce to deliver more value for large enterprise customers that value scalability and security. The acquisition would be the company's fifth and largest acquisition in the past two years. The acquisition will double Perforce's size and will result in aggressive hiring in Minneapolis and several other areas."/>
    <m/>
    <m/>
    <m/>
    <x v="0"/>
    <m/>
    <x v="3"/>
    <x v="4"/>
    <s v="http://www.startribune.com/perforce-acquiring-software-testing-firm-in-200-million-deal/496367311/"/>
    <m/>
    <s v="400 First Ave N #200"/>
    <n v="55401"/>
    <n v="44.981299"/>
    <n v="-93.273304999999993"/>
    <m/>
    <m/>
    <m/>
    <m/>
    <m/>
    <m/>
    <m/>
    <m/>
    <s v="Metro"/>
    <x v="0"/>
  </r>
  <r>
    <x v="3"/>
    <d v="2018-10-09T00:00:00"/>
    <x v="182"/>
    <s v="Maple Grove"/>
    <s v="Hennepin"/>
    <s v="MN"/>
    <s v="Medical device design startup Switchback Medical recently opened in a15,000-square-foot space in Maple Grove, Minn. The company offers capabilities in: Finished devices, Balloon catheters, Delivery systems, etc. The company’s facility includees office and tech space for up to 100 employees, an ISO Class 8 controlled-environment clean room, R&amp;D and test labs, a machine shop."/>
    <s v="HQ, MF"/>
    <m/>
    <m/>
    <x v="0"/>
    <n v="15000"/>
    <x v="11"/>
    <x v="1"/>
    <s v="https://www.medicaldesignandoutsourcing.com/switchback-medical-debuts-in-twin-cities-metro/"/>
    <m/>
    <s v="11600 96th Ave N"/>
    <n v="55369"/>
    <n v="45.129502000000002"/>
    <n v="-93.427948999999998"/>
    <m/>
    <m/>
    <m/>
    <m/>
    <m/>
    <m/>
    <m/>
    <m/>
    <s v="Metro"/>
    <x v="0"/>
  </r>
  <r>
    <x v="3"/>
    <d v="2018-10-10T00:00:00"/>
    <x v="60"/>
    <s v="Brooklyn Park"/>
    <s v="Hennepin"/>
    <s v="MN"/>
    <s v="Amazon is opening a new sorting facility in Brooklyn Park that will employ 450 people part-time, the retailing giant's latest expansion in the Twin Cities. At Amazon's fulfillment centers, the company fills customer orders from inventory on site. Sorting centers don't carry inventory; they are transshipment sites. The 350,000-square-foot building, the company's fourth delivery-related operation in the Twin Cities, is located at 9001 Wyoming Av. N. The center is expected to open later this fall."/>
    <s v="Warehouse; Distribution Center"/>
    <n v="14800000"/>
    <n v="450"/>
    <x v="0"/>
    <n v="383000"/>
    <x v="0"/>
    <x v="8"/>
    <s v="http://www.startribune.com/amazon-now-hiring-for-new-sorting-facility-in-brooklyn-park/496659861/ ; https://finance-commerce.com/2018/10/amazon-prepares-brooklyn-park-sorting-center/"/>
    <m/>
    <s v="9001 N Wyoming Ave"/>
    <n v="55429"/>
    <n v="45.063552000000001"/>
    <n v="-93.341097000000005"/>
    <m/>
    <m/>
    <m/>
    <m/>
    <s v="Amazon"/>
    <s v="Seatle"/>
    <s v="WA"/>
    <m/>
    <s v="Metro"/>
    <x v="0"/>
  </r>
  <r>
    <x v="3"/>
    <d v="2018-10-10T00:00:00"/>
    <x v="183"/>
    <s v="Minneapolis"/>
    <s v="Hennepin"/>
    <s v="MN"/>
    <s v="Med-tech company Cardialen has closed on $17 million in venture capital that will go toward ramping up hiring and clinical studies. The company, whose headquarters migrated from St. Louis to Minneapolis about five years ago, is developing technology to treat abnormally fast heart rhythms. Cardialen will put its recently won funding toward a clinical trial. The company has six employees and Peters expects that number to reach between 10 and 20 in the coming months."/>
    <m/>
    <m/>
    <n v="14"/>
    <x v="0"/>
    <m/>
    <x v="11"/>
    <x v="1"/>
    <s v="https://www.bizjournals.com/twincities/news/2018/10/10/med-tech-startup-cardialen-to-ramp-up-hiring-after.html"/>
    <m/>
    <s v="212 Third Ave N Ste 352"/>
    <n v="55401"/>
    <n v="44.985335999999997"/>
    <n v="-93.272327000000004"/>
    <s v="Venture Capital"/>
    <m/>
    <m/>
    <m/>
    <m/>
    <m/>
    <m/>
    <m/>
    <s v="Metro"/>
    <x v="0"/>
  </r>
  <r>
    <x v="3"/>
    <d v="2018-10-11T00:00:00"/>
    <x v="184"/>
    <s v="Mankato"/>
    <s v="Blue Earth"/>
    <s v="MN"/>
    <s v="&quot;Federated Insurance is purchasing the former Verizon call center building for use as a processing center. Federated, a rapidly growing company headquartered in Owatonna that serves clients across the country, said earlier they expect to bring about 200 employees to Mankato in the first two or three years. Federated employs about 2,400 people nationwide with 1,400 at the Owatonna headquarters. The facility's opening date and new staff hiring timeline are yet to be determined.&quot;"/>
    <s v="Office (Non-HQ)"/>
    <m/>
    <m/>
    <x v="0"/>
    <m/>
    <x v="0"/>
    <x v="6"/>
    <s v="http://www.mankatofreepress.com/news/local_news/federated-insurance-buying-verizon-call-center-building/article_b12dcf1c-cd5f-11e8-8f1c-276b248bcdb9.html"/>
    <m/>
    <s v="2000 Technology Dr"/>
    <n v="56001"/>
    <n v="44.176811000000001"/>
    <n v="-93.943257000000003"/>
    <m/>
    <m/>
    <m/>
    <m/>
    <m/>
    <m/>
    <m/>
    <m/>
    <s v="South"/>
    <x v="0"/>
  </r>
  <r>
    <x v="3"/>
    <d v="2018-10-11T00:00:00"/>
    <x v="76"/>
    <s v="St Paul"/>
    <s v="Ramsey"/>
    <s v="MN"/>
    <s v="Regions Hospital is officially moving dirt on its new 160,000-square-foot birth center in St. Paul, a project that promises to deliver everything from water birth suites to unusual couplet care features for moms and their babies. The $75.5 million project includes a four-story building with 50 parking stalls for moms and visitors. Financing will include $50 million in conduit revenue bonds. Regions is kicking in $25.5 million in equity. Completion is expected in June 2020."/>
    <s v="Healthcare Facility"/>
    <n v="75500000"/>
    <m/>
    <x v="0"/>
    <n v="160000"/>
    <x v="0"/>
    <x v="0"/>
    <s v="https://finance-commerce.com/2018/10/regions-hospital-birth-center-underway/"/>
    <m/>
    <s v="640 Jackson St"/>
    <n v="55101"/>
    <n v="44.955382999999998"/>
    <n v="-93.095797000000005"/>
    <m/>
    <m/>
    <m/>
    <m/>
    <s v="HealthPartners Inc"/>
    <s v="Bloomington"/>
    <s v="MN"/>
    <m/>
    <s v="Metro"/>
    <x v="0"/>
  </r>
  <r>
    <x v="3"/>
    <d v="2018-10-18T00:00:00"/>
    <x v="185"/>
    <s v="Brainerd"/>
    <s v="Crow Wing"/>
    <s v="MN"/>
    <s v="After winning the Minnesota Tourism account this summer, Minneapolis agency Adventure Creative has added four employees to its team to handle the new work."/>
    <s v="Headquarters; Office (Non-HQ)"/>
    <m/>
    <n v="4"/>
    <x v="0"/>
    <m/>
    <x v="21"/>
    <x v="4"/>
    <s v="https://www.bizjournals.com/twincities/news/2018/10/18/adventure-creative-adds-to-team-as-new-work-flows.html"/>
    <m/>
    <s v="1521 Nern Pacific Rd"/>
    <n v="56401"/>
    <n v="46.350194999999999"/>
    <n v="-94.099982999999995"/>
    <m/>
    <m/>
    <m/>
    <m/>
    <m/>
    <m/>
    <m/>
    <m/>
    <s v="Central"/>
    <x v="0"/>
  </r>
  <r>
    <x v="3"/>
    <d v="2018-10-18T00:00:00"/>
    <x v="186"/>
    <s v="Minneapolis"/>
    <s v="Hennepin"/>
    <s v="MN"/>
    <s v="The updated technology infrastructure at Fifth Street Towers helped to lure Merchant &amp; Gould across downtown Minneapolis into a smaller, but more efficient office floorplan. The intellectual property law firm will move next summer into 40,246 square feet of space on the 21st and 22nd floors of the two-building complex at 150 Fifth St. S. Merchant &amp; Gould's build-out in the new space will feature private offices that are all the same size, collaborative workspaces and a new paper-free workflow"/>
    <s v="Headquarters"/>
    <m/>
    <m/>
    <x v="0"/>
    <m/>
    <x v="17"/>
    <x v="4"/>
    <s v="https://finance-commerce.com/2018/10/why-merchant-gould-moved-out-of-iconic-ids/"/>
    <m/>
    <s v="80 S 8th St IDS Center Ste 3200"/>
    <n v="55402"/>
    <n v="44.975459999999998"/>
    <n v="-93.272667999999996"/>
    <m/>
    <m/>
    <m/>
    <m/>
    <m/>
    <m/>
    <m/>
    <m/>
    <s v="Metro"/>
    <x v="0"/>
  </r>
  <r>
    <x v="3"/>
    <d v="2018-10-19T00:00:00"/>
    <x v="187"/>
    <s v="Dayton"/>
    <s v="Hennepin"/>
    <s v="MN"/>
    <s v="King Solutions Inc., a provider of freight-transportation services, has started building a 101,000-square-foot addition to its 164,891-square-foot headquarters at 11011 Holly Lane N. in Dayton.. The biggest draw of the new space is that it will be temperature-controlled, which will allow the company to work with new kinds of commodities, the company said. King has 130 employees at its Dayton site and expects to add 10 more with the expansion."/>
    <s v="Headquarters; Other"/>
    <m/>
    <n v="10"/>
    <x v="0"/>
    <n v="101000"/>
    <x v="0"/>
    <x v="3"/>
    <s v="https://www.bizjournals.com/twincities/news/2018/10/19/king-solutions-joins-graco-other-firms-in.html"/>
    <m/>
    <s v="11011 Holly Ln N"/>
    <n v="55369"/>
    <n v="45.155256000000001"/>
    <n v="-93.503814000000006"/>
    <m/>
    <m/>
    <m/>
    <m/>
    <m/>
    <m/>
    <m/>
    <m/>
    <s v="Metro"/>
    <x v="0"/>
  </r>
  <r>
    <x v="3"/>
    <d v="2018-10-23T00:00:00"/>
    <x v="188"/>
    <s v="Virginia"/>
    <s v="St Louis"/>
    <s v="MN"/>
    <s v="Consideration of a development agreement between the City of Virginia and Vertex Roofing d/b/a Northern Lights Manufacturing for a Manufacturing Project in Virginia (page 62 of the meeting packet in the link). Northern Lights Mfg is requesting a forgivable loan of $50,000 for funding the gap in their project for purchasing equipment and machinery. The expansion would employ 8 more empoyees over the next two years. Public hearing 10/23/2018 at DEED. MIF Funds of $93,550 were approved."/>
    <m/>
    <n v="377836"/>
    <n v="8"/>
    <x v="0"/>
    <m/>
    <x v="27"/>
    <x v="1"/>
    <s v="http://www.virginiamn.us/10-23-18%20Council%20Agenda%20Packet.pdf"/>
    <m/>
    <s v="402 2nd Ave S"/>
    <n v="55792"/>
    <n v="47.520144999999999"/>
    <n v="-92.532667000000004"/>
    <s v="Government Financing"/>
    <m/>
    <m/>
    <m/>
    <s v="Vertex Roofing Inc"/>
    <s v="Eveleth"/>
    <s v="MN"/>
    <m/>
    <s v="North"/>
    <x v="0"/>
  </r>
  <r>
    <x v="3"/>
    <d v="2018-10-23T00:00:00"/>
    <x v="189"/>
    <s v="Virginia"/>
    <s v="St Louis"/>
    <s v="MN"/>
    <s v="Pan O Gold Baking Company is seeking land to build a 2000 SF distribution center facility on an empty lot at 14th Ave N. Seeking out if City will sell the lot to them. City approved the request and sold the land parcel for $1."/>
    <m/>
    <m/>
    <m/>
    <x v="0"/>
    <n v="2000"/>
    <x v="1"/>
    <x v="1"/>
    <s v="http://www.virginiamn.us/10-23-18%20Council%20Agenda%20Packet.pdf"/>
    <m/>
    <s v="n/a"/>
    <n v="55741"/>
    <n v="47.447685999999997"/>
    <n v="-92.366335000000007"/>
    <m/>
    <m/>
    <m/>
    <m/>
    <s v="Pan-O-Gold Baking Company"/>
    <s v="St Cloud"/>
    <s v="MN"/>
    <m/>
    <s v="North"/>
    <x v="0"/>
  </r>
  <r>
    <x v="3"/>
    <d v="2018-10-25T00:00:00"/>
    <x v="190"/>
    <s v="Cottage Grove"/>
    <s v="Washington"/>
    <s v="MN"/>
    <s v="Up North Plastics will be doubling its facility size as well as nearly double its workforce. The current facility is 450,000 square feet, with an additional 460,000 square feet proposed to be added to its 88-acre site. The expansion will include manufacturing and warehouse facilities, as well as silos and cooling towers. Expansion expected to add 200 jobs over three years. The 16 silos to be built will stand between 64- and 97-feet tall, about 20 feet higher than the current silos."/>
    <s v="Headquarters"/>
    <n v="101000000"/>
    <n v="200"/>
    <x v="0"/>
    <n v="460000"/>
    <x v="2"/>
    <x v="1"/>
    <s v="http://bit.ly/2EQsASg "/>
    <m/>
    <s v="9480 Jamaica Ave S"/>
    <n v="55016"/>
    <n v="44.810797000000001"/>
    <n v="-92.936413000000002"/>
    <m/>
    <m/>
    <m/>
    <m/>
    <m/>
    <m/>
    <m/>
    <m/>
    <s v="Metro"/>
    <x v="0"/>
  </r>
  <r>
    <x v="3"/>
    <d v="2018-10-29T00:00:00"/>
    <x v="73"/>
    <s v="Hermantown"/>
    <s v="St Louis"/>
    <s v="MN"/>
    <s v="The $26 million Essentia Wellness Center, located at the intersection of Ugstad and Arrowhead Roads, will include three key elements, a YMCA, a childcare center run by the YMCA and co-located healthcare services provided by Essentia Health. Financial support runs deep and includes many partners. Essentia Health will contribute $2 million; the state of Minnesota budgeted $8 million (2016 bonding bill); and $16m from Hermantown, St. Louis County and capital campaigns. To be completed Fall 2019."/>
    <s v="Healthcare Facility"/>
    <n v="26000000"/>
    <m/>
    <x v="0"/>
    <m/>
    <x v="0"/>
    <x v="0"/>
    <s v="http://www.businessnorth.com/businessnorth_exclusives/construction-begins-on-new-essentia-wellness-center/article_3b1f4654-db9f-11e8-9c26-cb17df9c0738.html"/>
    <m/>
    <s v="4855 W Arrowhead Rd"/>
    <n v="55811"/>
    <n v="46.822958999999997"/>
    <n v="-92.191269000000005"/>
    <s v="Equity Financing; Government Financing"/>
    <m/>
    <m/>
    <m/>
    <s v="Essentia Health"/>
    <s v="Proctor"/>
    <s v="MN"/>
    <m/>
    <s v="North"/>
    <x v="0"/>
  </r>
  <r>
    <x v="3"/>
    <d v="2018-10-29T00:00:00"/>
    <x v="191"/>
    <s v="Bloomington"/>
    <s v="Hennepin"/>
    <s v="MN"/>
    <s v="The Port Authority and Triple Five would act as co-developers of the project. A nonprofit organization would own the water park. Construction could begin as soon as a year from now in late 2019 and wrap up in 2021. City staff are proposing the facility be built just north of the Mall of America. The water park proposed is 250,000 square feet of actual water-park space, which would make it the second largest in North America. Cost: between $230 million and 250 million."/>
    <s v="Other"/>
    <n v="250000000"/>
    <m/>
    <x v="0"/>
    <n v="250000"/>
    <x v="0"/>
    <x v="12"/>
    <s v="https://www.bizjournals.com/twincities/news/2018/10/29/bloomington-lays-out-plan-for-230m-plus-mall-of.html"/>
    <m/>
    <s v="60 E Broadway"/>
    <n v="55369"/>
    <n v="45.115873000000001"/>
    <n v="-93.403053"/>
    <m/>
    <m/>
    <m/>
    <m/>
    <m/>
    <m/>
    <m/>
    <m/>
    <s v="Metro"/>
    <x v="0"/>
  </r>
  <r>
    <x v="3"/>
    <d v="2018-10-29T00:00:00"/>
    <x v="192"/>
    <s v="Hibbing"/>
    <s v="St Louis"/>
    <s v="MN"/>
    <s v="Midwest Aircraft Refinishing has a passion for (paint) perfection. Since its inception in 2010, the company's business of painting and refurbishing small airplanes has taken off. Midwest Aircraft Refinishing has grown to become recognized as a premier painter of Cirrus airplanes. It also paints and refurbishes other name-brand planes. A new 10,000 square-foot addition is under construction, adjacent to its current facility. Govt Financing includes $1.3 million loan from MnDOT, $200K IRRRB loan."/>
    <s v="Headquarters; Manufacturing; Warehouse"/>
    <n v="1900000"/>
    <n v="6"/>
    <x v="0"/>
    <n v="10000"/>
    <x v="18"/>
    <x v="1"/>
    <s v="http://www.businessnorth.com/daily_briefing/midwest-aircraft-refinishing-has-a-passion-for-paint-perfection/article_f56e4af4-db91-11e8-beea-5b131afdfe3a.html"/>
    <m/>
    <s v="11038 Hwy 37 Bldg A Ste 8"/>
    <n v="55746"/>
    <n v="47.393586999999997"/>
    <n v="-92.841620000000006"/>
    <s v="Equity Financing; Government Financing"/>
    <m/>
    <m/>
    <m/>
    <m/>
    <m/>
    <m/>
    <m/>
    <s v="North"/>
    <x v="0"/>
  </r>
  <r>
    <x v="3"/>
    <d v="2018-10-31T00:00:00"/>
    <x v="193"/>
    <s v="Rochester"/>
    <s v="Olmsted"/>
    <s v="MN"/>
    <s v="KA has been building projects in Rochester for decades, from the Miracle Mile Mall to the Rochester International Airport terminal. In 2012, it opened a regional office in the city to manage projects in southern Minnesota, northern Iowa and western Wisconsin. Kraus-Anderson has outgrown that office at 416 South Broadway in downtown. On Tuesday, 16 employees moved into a street-level office at 501 on First. The new 5,666-sq-ft office is roomier than the previous 4,000-sq-ft office."/>
    <s v="Office (Non-HQ)"/>
    <m/>
    <m/>
    <x v="0"/>
    <n v="1666"/>
    <x v="0"/>
    <x v="11"/>
    <s v="https://finance-commerce.com/2018/10/kraus-anderson-moves-to-larger-rochester-office/"/>
    <m/>
    <s v="501 1st Ave SW"/>
    <n v="55902"/>
    <n v="44.017968000000003"/>
    <n v="-92.464697999999999"/>
    <m/>
    <m/>
    <m/>
    <m/>
    <s v="Kraus-Anderson Cos Inc"/>
    <s v="Minneapolis"/>
    <s v="MN"/>
    <m/>
    <s v="South"/>
    <x v="0"/>
  </r>
  <r>
    <x v="3"/>
    <d v="2018-11-01T00:00:00"/>
    <x v="194"/>
    <s v="Little Canada"/>
    <s v="Ramsey"/>
    <s v="MN"/>
    <s v="St. Paul-based Bix Produce Co. is planning to move its 400 employees to Little Canada in an expansion that would triple the size of its current food-processing facility. The company, long a North End institution, would create 129 new jobs over the next 4 years and renovate Slumberland's former warehouse for $15 million. Bix processes, distributes fruits &amp; vegetables. It has outgrown its 68,000-SF facility in St. Paul. DEED JCF award total $350K. Revised Invt: $25.725 million DEED"/>
    <s v="Headquarters; Warehouse; Other"/>
    <n v="25725000"/>
    <n v="129"/>
    <x v="0"/>
    <m/>
    <x v="0"/>
    <x v="10"/>
    <s v="http://www.startribune.com/st-paul-based-food-processer-looks-to-relocate-to-little-canada/499353981/"/>
    <m/>
    <m/>
    <n v="55117"/>
    <n v="44.983600600000003"/>
    <n v="-93.092597999999995"/>
    <s v="Government Financing"/>
    <m/>
    <m/>
    <m/>
    <m/>
    <m/>
    <m/>
    <m/>
    <s v="Metro"/>
    <x v="0"/>
  </r>
  <r>
    <x v="3"/>
    <d v="2018-11-01T00:00:00"/>
    <x v="195"/>
    <s v="Minneapolis"/>
    <s v="Hennepin"/>
    <s v="MN"/>
    <s v="Four years ago Coloplast Corp. faced a $600K penalty from the city of Minneapolis for not meeting hiring goals at its new U.S. headquarters. Today one of the company's biggest challenges is finding employees to fill open positions. The Danish company's Twin Cities workforce is growing again as it invests in marketing, research and development, and other efforts connected to two key business units with Minnesota operations. Currently has 365 employees, with 27 openings in MN listed on website"/>
    <s v="Headquarters; Manufacturing"/>
    <m/>
    <n v="27"/>
    <x v="0"/>
    <m/>
    <x v="11"/>
    <x v="1"/>
    <s v="https://www.bizjournals.com/twincities/news/2018/11/01/how-med-tech-maker-coloplast-built-an-empire-of.html"/>
    <m/>
    <s v="1601 W River Rd N"/>
    <n v="55411"/>
    <n v="44.995372000000003"/>
    <n v="-93.276627000000005"/>
    <m/>
    <m/>
    <m/>
    <s v="y"/>
    <s v="Coloplast A/S"/>
    <s v="Humlebaek"/>
    <m/>
    <s v="Denmark"/>
    <s v="Metro"/>
    <x v="0"/>
  </r>
  <r>
    <x v="3"/>
    <d v="2018-11-01T00:00:00"/>
    <x v="196"/>
    <s v="Hoyt Lakes"/>
    <s v="St Louis"/>
    <s v="MN"/>
    <s v="Stern Companies ramping up expansion in Hoyt Lakes. When it came time for Stern Companies, Inc. to expand its manufacturing capabilities, the choice for a new site became unmistakable: Hoyt Lakes, MN. In early November, the company begins production in Hoyt Lakes within a 30,000 square-foot building built in 2002 by the Hoyt Lakes EDA. Initially, Stern will employ about 10-12 in Hoyt Lakes. Plans are to add 15-20 employees in the next two to three years. Govt $: $1 million IRRRB"/>
    <s v="Manufacturing"/>
    <m/>
    <n v="20"/>
    <x v="0"/>
    <n v="30000"/>
    <x v="2"/>
    <x v="1"/>
    <s v="http://www.businessnorth.com/businessnorth_exclusives/stern-companies-ramping-up-expansion-in-hoyt-lakes/article_91111d7c-e837-11e8-ad7b-1bde743b1e81.html"/>
    <m/>
    <s v="5520 Colby Lake Rd"/>
    <n v="55750"/>
    <n v="47.519697999999998"/>
    <n v="-92.176253000000003"/>
    <m/>
    <m/>
    <m/>
    <m/>
    <s v="Stern Companies"/>
    <s v="Baxter"/>
    <s v="MN"/>
    <m/>
    <s v="North"/>
    <x v="0"/>
  </r>
  <r>
    <x v="3"/>
    <d v="2018-11-05T00:00:00"/>
    <x v="197"/>
    <s v="Burnsville"/>
    <s v="Dakota"/>
    <s v="MN"/>
    <s v="Innovative Office Solutions, a Burnsville-based office furniture and products company, opened a new, 7,076-square-foot showroom in downtown Minneapolis. The space which will double as a downtown office and showroom and sits on the corner of 5th and Marquette. It will have 12 employees stationed there full-time, with 60 others splitting time between other locations,"/>
    <s v="Office (Non-HQ); Retail"/>
    <m/>
    <n v="12"/>
    <x v="0"/>
    <n v="7076"/>
    <x v="8"/>
    <x v="1"/>
    <s v="https://www.bizjournals.com/twincities/news/2018/11/05/innovative-office-solutions-opens-7-000-square.html"/>
    <m/>
    <s v="151 Cliff Rd E"/>
    <n v="55337"/>
    <n v="44.786749999999998"/>
    <n v="-93.273987000000005"/>
    <m/>
    <m/>
    <m/>
    <m/>
    <s v="Innovative Office Solutions"/>
    <s v="Burnsville"/>
    <s v="MN"/>
    <m/>
    <s v="Metro"/>
    <x v="0"/>
  </r>
  <r>
    <x v="3"/>
    <d v="2018-11-09T00:00:00"/>
    <x v="198"/>
    <s v="Eagan"/>
    <s v="Dakota"/>
    <s v="MN"/>
    <s v="Life Time is opening between 10 to 12 clubs per year, according to Chief Operating Officer Jeff Zwiefel, and this week finished a $7 million remodel of its Eagan location. It has 23 clubs in the Twin Cities, including a Southdale location set to open in 2019."/>
    <s v="Other"/>
    <n v="7000000"/>
    <m/>
    <x v="0"/>
    <m/>
    <x v="32"/>
    <x v="5"/>
    <s v="https://www.bizjournals.com/twincities/news/2018/11/09/life-time-building-26m-to-30m-corporate-office-in.html"/>
    <m/>
    <s v="1565 Thomas Center Dr"/>
    <n v="55122"/>
    <n v="44.792552000000001"/>
    <n v="-93.179737000000003"/>
    <m/>
    <m/>
    <m/>
    <m/>
    <s v="Life Time Inc"/>
    <s v="Chanhassen"/>
    <s v="MN"/>
    <m/>
    <s v="Metro"/>
    <x v="0"/>
  </r>
  <r>
    <x v="3"/>
    <d v="2018-11-09T00:00:00"/>
    <x v="199"/>
    <s v="Chanhassen"/>
    <s v="Carver"/>
    <s v="MN"/>
    <s v="Life Time Inc. is constructing a secondary corporate office in Chanhassen adjacent to its original headquarters. Buildout costs for the office will be between $26 million to $30 million, according to Life Time's Chief Operating Officer Jeff Zwiefel. Up to 300 of Life Time's 800 corporate employees will shift over to the new office after it's completed next August. The two-floor, 70,000-square-foot building is being built on the same parking lot as the original corporate office."/>
    <s v="Headquarters"/>
    <n v="30000000"/>
    <m/>
    <x v="0"/>
    <n v="70000"/>
    <x v="32"/>
    <x v="5"/>
    <s v="https://www.bizjournals.com/twincities/news/2018/11/09/life-time-building-26m-to-30m-corporate-office-in.html"/>
    <m/>
    <s v="2902 Corporate Place"/>
    <n v="55317"/>
    <n v="44.862487999999999"/>
    <n v="-93.595945999999998"/>
    <m/>
    <m/>
    <m/>
    <m/>
    <m/>
    <m/>
    <m/>
    <m/>
    <s v="Metro"/>
    <x v="0"/>
  </r>
  <r>
    <x v="3"/>
    <d v="2018-11-10T00:00:00"/>
    <x v="200"/>
    <s v="Minneapolis"/>
    <s v="Hennepin"/>
    <s v="MN"/>
    <s v="In the 16 months since Cleveland-based Sherwin-Williams acquiring Valspar, Valspar's influence has grown, with five businesses based in Minnesota and a growing research-and-development operation on the old HQ campus. &quot;Minneapolis is like our second headquarters,&quot; said Sherwin-Williams spokesman Mike Conway. &quot;We added chemists and other scientists. We also closed another lab in [Chicago] and brought those workers to Minneapolis.&quot; Conway said Minneapolis is &quot;our global hub for R &amp; D&quot;."/>
    <s v="Headquarters; Research &amp; Dev"/>
    <m/>
    <m/>
    <x v="0"/>
    <m/>
    <x v="28"/>
    <x v="1"/>
    <s v="http://www.startribune.com/minneapolis-presence-strong-16-months-after-valspar-purchase/500168432/"/>
    <m/>
    <s v="1101 S 3rd St"/>
    <n v="55415"/>
    <n v="44.974254999999999"/>
    <n v="-93.253962999999999"/>
    <m/>
    <m/>
    <m/>
    <m/>
    <s v="Sherwin-Williams"/>
    <s v="Cleveland"/>
    <s v="OH"/>
    <m/>
    <s v="Metro"/>
    <x v="0"/>
  </r>
  <r>
    <x v="3"/>
    <d v="2018-11-13T00:00:00"/>
    <x v="201"/>
    <s v="Annandale"/>
    <s v="Wright"/>
    <s v="MN"/>
    <s v="E.A. Sween has purchased the former Select Foods facility for the purpose of expanding their company. E.A. Sween is purchasing the property for $1.1 million and making $2.36 million in additional site improvement capital expenditures. At least 51 new jobs will be created within 2 years as a result of the proposed project. $375,000 in MIF funds have been approved to assist in the purchase of new equipment for the project."/>
    <s v="Manufacturing"/>
    <n v="3460000"/>
    <n v="51"/>
    <x v="0"/>
    <m/>
    <x v="1"/>
    <x v="1"/>
    <s v="https://www.annandale.mn.us/vertical/sites/%7B8B9EF75D-91A9-44C3-9174-41C4172B85B5%7D/uploads/Council_Packet_11-5-18.pdf"/>
    <m/>
    <s v="435 Annandale Blvd"/>
    <n v="55302"/>
    <n v="45.218651999999999"/>
    <n v="-94.105947999999998"/>
    <s v="Government Financing"/>
    <m/>
    <m/>
    <m/>
    <s v="EA Sween Company"/>
    <s v="Eden Prairie"/>
    <s v="MN"/>
    <m/>
    <s v="Central"/>
    <x v="0"/>
  </r>
  <r>
    <x v="3"/>
    <d v="2018-11-14T00:00:00"/>
    <x v="202"/>
    <s v="Mankato"/>
    <s v="Blue Earth"/>
    <s v="MN"/>
    <s v="Door Manufacturer Senneca to Move Into Vacated Mankato Plant, Hire 82 New Staff. Senneca Holdings, which specializes in commercial doors for places like airport hangars and fire stations, plans to lease a 117,000-sqare-foot plant in Mankato once used by Imperial Plastics. The Mankato facility will serve as a new operations site for Senneca. Also plans to transfer operations there from a Florida manufacturer. TIF $311,000. &quot;&quot;It's a wonderful facility. It's really set up well for us,&quot;&quot;"/>
    <s v="Manufacturing"/>
    <m/>
    <n v="82"/>
    <x v="0"/>
    <n v="117000"/>
    <x v="27"/>
    <x v="1"/>
    <s v="http://tcbmag.com/news/articles/2018/november/door-manufacturer-senneca-to-move-into-vacated-man"/>
    <m/>
    <s v="101 Power Dr"/>
    <n v="56001"/>
    <n v="44.181162"/>
    <n v="-93.939179999999993"/>
    <s v="Government Financing"/>
    <m/>
    <m/>
    <m/>
    <s v="Senneca Holdings"/>
    <s v="Springdale"/>
    <s v="OH"/>
    <m/>
    <s v="South"/>
    <x v="0"/>
  </r>
  <r>
    <x v="3"/>
    <d v="2018-11-15T00:00:00"/>
    <x v="203"/>
    <s v="Duluth"/>
    <s v="St Louis"/>
    <s v="MN"/>
    <s v="Duluth's Moline Machinery plans $9 million expansion. Moline Machinery is embarking on a significant expansion to its West Duluth facility to become more globally competitive. The industrial bakery-machinery manufacturer expects to invest $9 million in a new building and equipment over the next two years. The 25,000-square-foot expansion at 114 S. Central Ave. will upgrade an existing 1930s-era structure that will open up assembly space for new machinery, convert some areas into offices."/>
    <s v="Headquarters"/>
    <n v="9000000"/>
    <m/>
    <x v="0"/>
    <n v="25000"/>
    <x v="4"/>
    <x v="1"/>
    <s v="https://www.duluthnewstribune.com/business/manufacturing/4529871-duluths-moline-machinery-plans-9-million-expansion"/>
    <m/>
    <s v="114 S Central Ave"/>
    <n v="55807"/>
    <n v="46.732399000000001"/>
    <n v="-92.166397099999998"/>
    <m/>
    <m/>
    <m/>
    <m/>
    <m/>
    <m/>
    <m/>
    <m/>
    <s v="North"/>
    <x v="0"/>
  </r>
  <r>
    <x v="3"/>
    <d v="2018-11-16T00:00:00"/>
    <x v="204"/>
    <s v="Plymouth"/>
    <s v="Hennepin"/>
    <s v="MN"/>
    <s v="Cantel Medical may expand in Plymouth. The company is a leading provider of infection prevention and control products and services in the healthcare market. The proposed project would consist of renovation of the company?s Plymouth facility to add a 20,000 square foot innovation and training center and a 7,500 square foot R&amp;D testing center. Applying for $675K JCF"/>
    <s v="Manufacturing; Research &amp; Dev"/>
    <n v="4500000"/>
    <n v="101"/>
    <x v="0"/>
    <n v="27500"/>
    <x v="11"/>
    <x v="1"/>
    <s v="https://connect2.mn.gov/sites/DEED-DEN/SitePages/events.aspx?trumbaEmbed=eventid%3D130028039%26view%3Devent%26-childview%3D"/>
    <m/>
    <s v="9800 59th Ave N"/>
    <n v="55442"/>
    <n v="45.060060999999997"/>
    <n v="-93.404690000000002"/>
    <m/>
    <m/>
    <m/>
    <m/>
    <s v="Cantel Medical Corp"/>
    <s v="Little Falls"/>
    <s v="NJ"/>
    <m/>
    <s v="Metro"/>
    <x v="0"/>
  </r>
  <r>
    <x v="3"/>
    <d v="2018-11-20T00:00:00"/>
    <x v="205"/>
    <s v="Minneapolis"/>
    <s v="Hennepin"/>
    <s v="MN"/>
    <s v="Greenheck Fan Corporation manufactures and supplies air movement and control equipment. Customized training for 300 employees, including 55 new hires, will focus on the production floor level. Course topics include: Team Leader Training, Refrigeration Piper Training, Equipment Operations and Troubleshooting, Microsoft Basics, Advanced Microsoft Excel, and New Hire Safety Training. DEED MJSP award $49,410"/>
    <s v="Manufacturing"/>
    <m/>
    <n v="55"/>
    <x v="0"/>
    <m/>
    <x v="4"/>
    <x v="1"/>
    <s v="https://mn.gov/deed/newscenter/press-releases/?id=359817#/detail/appId/1/id/359690"/>
    <m/>
    <s v="n/a"/>
    <n v="55401"/>
    <n v="44.984577000000002"/>
    <n v="-93.269097000000002"/>
    <m/>
    <m/>
    <m/>
    <m/>
    <s v="Greenheck Fan Corp"/>
    <s v="Schofield"/>
    <s v="WI"/>
    <m/>
    <s v="Metro"/>
    <x v="0"/>
  </r>
  <r>
    <x v="3"/>
    <d v="2018-11-20T00:00:00"/>
    <x v="206"/>
    <s v="Otsego"/>
    <s v="Wright"/>
    <s v="MN"/>
    <s v="Long Haul Trucking (LHT) is the largest Conestoga trucking company in North America. Conestoga, a tarping system used on flatbed trailers, is designed to carry a variety of loads, reduces operating time and protects from weather conditions. A customized training program, including leadership/company changes and technician cross-training, will be delivered to 246 employees (57 new). DEED MJSP award $300,000."/>
    <s v="Other"/>
    <m/>
    <n v="57"/>
    <x v="0"/>
    <m/>
    <x v="0"/>
    <x v="3"/>
    <s v="https://mn.gov/deed/newscenter/press-releases/?id=359817#/detail/appId/1/id/359690"/>
    <m/>
    <s v="6600 Jansen Ave NE"/>
    <n v="55301"/>
    <n v="45.247734000000001"/>
    <n v="-93.687039999999996"/>
    <m/>
    <m/>
    <m/>
    <m/>
    <m/>
    <m/>
    <m/>
    <m/>
    <s v="Central"/>
    <x v="0"/>
  </r>
  <r>
    <x v="3"/>
    <d v="2018-11-20T00:00:00"/>
    <x v="207"/>
    <s v="Oakdale"/>
    <s v="Washington"/>
    <s v="MN"/>
    <s v="Dale Rhoads, the president and CEO of Tulsa, Okla.-based management company Defcon Powersports, acquired St. Paul Harley-Davidson in Oakdale and Wild Prairie Harley-Davidson in Eden Prairie. Rhoads also owns Twin Cities Harley-Davidson North in Blaine and Twin Cities Harley-Davidson in Lakeville. Plans renovation of $500,000 to $1 million at St. Paul location."/>
    <s v="Retail; Other"/>
    <n v="1000000"/>
    <m/>
    <x v="0"/>
    <m/>
    <x v="0"/>
    <x v="8"/>
    <s v="https://www.bizjournals.com/twincities/news/2018/11/20/harley-davidson-dealerships-change-hands-will-get.html"/>
    <m/>
    <s v="2899 Hudson Rd"/>
    <n v="55128"/>
    <n v="44.948573000000003"/>
    <n v="-92.977046999999999"/>
    <m/>
    <m/>
    <m/>
    <m/>
    <s v="Defcon Powersports"/>
    <s v="Tulsa"/>
    <s v="OK"/>
    <m/>
    <s v="Metro"/>
    <x v="0"/>
  </r>
  <r>
    <x v="3"/>
    <d v="2018-11-21T00:00:00"/>
    <x v="208"/>
    <s v="St Paul"/>
    <s v="Ramsey"/>
    <s v="MN"/>
    <s v="Alula is a home automation and security technology company that offers hardware and software for professional security alarm dealers. Alula will be moving to Midway area of St. Paul and renovate an existing facility. The total project cost is $1,795,788. The company expects to create 135 jobs within the next three years with an average wage of $33.82 per hour. DEED JCF award $175,000. Moving from Hudson WI."/>
    <s v="Headquarters; Manufacturing"/>
    <n v="1795788"/>
    <n v="135"/>
    <x v="0"/>
    <m/>
    <x v="7"/>
    <x v="1"/>
    <s v="https://mn.gov/deed/newscenter/press-releases/?id=359817"/>
    <m/>
    <s v="2340 Energy Park Dr"/>
    <n v="55101"/>
    <n v="44.951483000000003"/>
    <n v="-93.090648999999999"/>
    <s v="Government Financing"/>
    <m/>
    <m/>
    <m/>
    <m/>
    <m/>
    <m/>
    <m/>
    <s v="Metro"/>
    <x v="0"/>
  </r>
  <r>
    <x v="3"/>
    <d v="2018-11-21T00:00:00"/>
    <x v="209"/>
    <s v="St Michael"/>
    <s v="Wright"/>
    <s v="MN"/>
    <s v="New Plastics Plus is a certified ISO9001/2015 custom thermoform manufacture. For the project they will construct a new 91,000-square-foot facility in St. Michael. The total project costs is estimated to be around $7.2 million. The company expects to create 10 jobs within the next three years with an average wage of $18.83 per hour. MN DEED JCF award $255,000."/>
    <s v="Manufacturing"/>
    <n v="7200000"/>
    <n v="10"/>
    <x v="0"/>
    <n v="91000"/>
    <x v="2"/>
    <x v="1"/>
    <s v="https://mn.gov/deed/newscenter/press-releases/?id=359817"/>
    <m/>
    <s v="n/a"/>
    <n v="55313"/>
    <n v="45.180731999999999"/>
    <n v="-93.927555999999996"/>
    <s v="Government Financing"/>
    <m/>
    <m/>
    <m/>
    <s v="New Plastics Plus"/>
    <s v="Otsego"/>
    <s v="MN"/>
    <m/>
    <s v="Central"/>
    <x v="0"/>
  </r>
  <r>
    <x v="3"/>
    <d v="2018-11-21T00:00:00"/>
    <x v="210"/>
    <s v="Sauk Rapids"/>
    <s v="Benton"/>
    <s v="MN"/>
    <s v="Pinnacle manufactures and distributes industrial construction and residential heating and ventilation products. Pinnacle plans to relocate to a newly renovated 122,000-square-foot facility in Sauk Rapids. The total project cost is $1,200,000. The company expects to create 10 jobs within three years. DEED JCF $162,500"/>
    <s v="Headquarters; Office (Non-HQ); Manufacturing; Distribution Center"/>
    <n v="1200000"/>
    <n v="10"/>
    <x v="0"/>
    <m/>
    <x v="4"/>
    <x v="1"/>
    <s v="https://mn.gov/deed/newscenter/press-releases/?id=359817"/>
    <m/>
    <s v="1 Industrial Blvd Ste 101"/>
    <n v="56379"/>
    <n v="45.596147999999999"/>
    <n v="-94.142448000000002"/>
    <s v="Government Financing"/>
    <m/>
    <m/>
    <m/>
    <m/>
    <m/>
    <m/>
    <m/>
    <s v="Central"/>
    <x v="0"/>
  </r>
  <r>
    <x v="3"/>
    <d v="2018-11-21T00:00:00"/>
    <x v="211"/>
    <s v="New Ulm"/>
    <s v="Brown"/>
    <s v="MN"/>
    <s v="Windings Inc. manufactures specialty electrical motors, generators and the sub-assemblies for these types of products. Windings plans to purchase a 60,000-square-foot facility in New Ulm. Then they will renovate and add an additional 10,000 square feet to the building. The total project will cost $7,900,000 and Windings expects to create 20 jobs within the next three years with an average wage of $21.60 per hour. MN DEED JCF Award $175,000"/>
    <s v="Headquarters; Manufacturing"/>
    <n v="7900000"/>
    <n v="20"/>
    <x v="0"/>
    <n v="70000"/>
    <x v="7"/>
    <x v="1"/>
    <s v="https://mn.gov/deed/newscenter/press-releases/?id=359817"/>
    <m/>
    <s v="208 N Valley"/>
    <n v="56073"/>
    <n v="44.317464000000001"/>
    <n v="-94.456711999999996"/>
    <s v="Government Financing"/>
    <m/>
    <m/>
    <m/>
    <m/>
    <m/>
    <m/>
    <m/>
    <s v="South"/>
    <x v="0"/>
  </r>
  <r>
    <x v="3"/>
    <d v="2018-11-27T00:00:00"/>
    <x v="212"/>
    <s v="St. Cloud"/>
    <s v="Sherburne"/>
    <s v="MN"/>
    <s v="CentraCare expects to close in January on a deal that would transfer ownership of Redwood Area Hospital to a subsidiary of the St. Cloud-based health care system, in a transaction that calls for a $60 million capital investment over the next 10 years. First announced in April this year, the deal for the hospital in the town of Redwood Falls is the latest in a series of transactions that has grown the size and scope of CentraCare."/>
    <s v="Headquarters"/>
    <n v="60000000"/>
    <m/>
    <x v="0"/>
    <m/>
    <x v="0"/>
    <x v="0"/>
    <s v="http://www.startribune.com/centracare-adding-redwood-falls-hospitals/501275311/"/>
    <m/>
    <s v="1406 6th Ave N"/>
    <n v="56303"/>
    <n v="45.575158000000002"/>
    <n v="-94.170209"/>
    <m/>
    <m/>
    <m/>
    <m/>
    <m/>
    <m/>
    <m/>
    <m/>
    <s v="Central"/>
    <x v="0"/>
  </r>
  <r>
    <x v="3"/>
    <d v="2018-11-28T00:00:00"/>
    <x v="213"/>
    <s v="Duluth"/>
    <s v="St Louis"/>
    <s v="MN"/>
    <s v="A $300 million plan to update and expand St. Luke's medical campus will extend over 10 years and be carefully modeled to mirror the future face of healthcare. The first stage of the three-phase project will begin in 2019 with a repurposing of a five-story structure, known as Building A. That work will cost of $40 million. The project will include a new emergency room and ancillary services. At any given moment, St. Luke's has between 130 and 160 positions open, he said."/>
    <s v="Other"/>
    <n v="300000000"/>
    <m/>
    <x v="0"/>
    <m/>
    <x v="0"/>
    <x v="0"/>
    <s v="http://bit.ly/2zLwRkI"/>
    <m/>
    <s v="915 E 1st St"/>
    <n v="55805"/>
    <n v="46.796398199999999"/>
    <n v="-92.087898300000006"/>
    <m/>
    <m/>
    <m/>
    <m/>
    <m/>
    <m/>
    <m/>
    <m/>
    <s v="North"/>
    <x v="0"/>
  </r>
  <r>
    <x v="3"/>
    <d v="2018-11-29T00:00:00"/>
    <x v="214"/>
    <s v="Bloomington"/>
    <s v="Hennepin"/>
    <s v="MN"/>
    <s v="Dispatch, whose app businesses use to coordinate deliveries, has closed on a $7.8 million round of funding as it prepares for a hiring spree. The round of funding was led by Southlake, Texas-based investment firm Trinity Private Equity Group and comes on top of a $2.6 million round Dispatch raised earlier this year. The startup will put the capital toward expanding into additional markets and hiring. It has about 50 employees now. It plans to add 60-80 workers in Twin Cities"/>
    <s v="Headquarters"/>
    <m/>
    <n v="80"/>
    <x v="0"/>
    <m/>
    <x v="3"/>
    <x v="4"/>
    <s v="https://www.bizjournals.com/twincities/news/2018/11/29/tech-startup-dispatch-raises-7-8m-plans-hiring.html"/>
    <m/>
    <s v="1401 W 94th St"/>
    <n v="55431"/>
    <n v="44.833376999999999"/>
    <n v="-93.296475000000001"/>
    <s v="Venture Capital"/>
    <m/>
    <m/>
    <m/>
    <m/>
    <m/>
    <m/>
    <m/>
    <s v="Metro"/>
    <x v="0"/>
  </r>
  <r>
    <x v="3"/>
    <d v="2018-11-30T00:00:00"/>
    <x v="215"/>
    <s v="Minneapolis"/>
    <s v="Hennepin"/>
    <s v="MN"/>
    <s v="&quot;Avisen Legal, a Minneapolis-based boutique law firm, will double its office space next year to accommodate a growing staff. The firm's new space will be about 6,600 square feet in the AT&amp;T Tower and will be finished around May, according to Chief Financial and Operating Officer Kimberly Lowe. The firm is doubling space with hopes of increasing from eight attorneys to about 14 in the next couple of years, she said. Executives declined to provide cost figures for the buildout.&quot;"/>
    <s v="Headquarters"/>
    <m/>
    <n v="6"/>
    <x v="0"/>
    <n v="3300"/>
    <x v="17"/>
    <x v="4"/>
    <s v="https://www.bizjournals.com/twincities/news/2018/11/30/avisen-legal-to-double-space-in-at-t-tower-in.html"/>
    <m/>
    <s v="901 S Marquette Ave Ste 1675"/>
    <n v="55402"/>
    <n v="44.973908000000002"/>
    <n v="-93.272418999999999"/>
    <m/>
    <m/>
    <m/>
    <m/>
    <m/>
    <m/>
    <m/>
    <m/>
    <s v="Metro"/>
    <x v="0"/>
  </r>
  <r>
    <x v="3"/>
    <d v="2018-11-30T00:00:00"/>
    <x v="216"/>
    <s v="Minneapolis"/>
    <s v="Hennepin"/>
    <s v="MN"/>
    <s v="Previously, Chartwell was based in 33 South Sixth in Minneapolis, where it had two partial suites on the 40th and 47th floors. In November 2018, Chartwell consolidated into the 27th floor of downtown Minneapolis' Fifth Street Towers. The office buildout didn't begin until July 2018, with the move happening four months later; it has a 10-year lease on the 20,358-square-foot space."/>
    <s v="Other"/>
    <m/>
    <m/>
    <x v="0"/>
    <m/>
    <x v="0"/>
    <x v="6"/>
    <s v="https://www.bizjournals.com/twincities/news/2019/05/21/cool-offices-financial-advisory-firm-sought.html"/>
    <m/>
    <s v="527 Marquette Ave"/>
    <n v="55402"/>
    <n v="44.977298699999999"/>
    <n v="-93.269500699999995"/>
    <m/>
    <m/>
    <m/>
    <m/>
    <m/>
    <m/>
    <m/>
    <m/>
    <s v="Metro"/>
    <x v="0"/>
  </r>
  <r>
    <x v="3"/>
    <d v="2018-12-01T00:00:00"/>
    <x v="217"/>
    <s v="Minneapolis"/>
    <s v="Hennepin"/>
    <s v="MN"/>
    <s v="Minneapolis-based ProcessBolt aims to close cybersecurity gaps that large firms find in smaller ones The startup works with companies and their vendors to streamline risk management assessments. Data breaches are one of the biggest problems companies have today. The company now is actively seeking its first employees in sales and program development."/>
    <s v="Headquarters"/>
    <m/>
    <m/>
    <x v="0"/>
    <m/>
    <x v="16"/>
    <x v="9"/>
    <s v="http://www.startribune.com/minneapolis-based-processbolt-aims-to-close-cybersecurity-gaps-that-large-firms-find-in-smaller-ones/501649671/"/>
    <m/>
    <s v="n/a"/>
    <n v="55401"/>
    <n v="44.984577000000002"/>
    <n v="-93.269097000000002"/>
    <m/>
    <m/>
    <m/>
    <m/>
    <m/>
    <m/>
    <m/>
    <m/>
    <s v="Metro"/>
    <x v="0"/>
  </r>
  <r>
    <x v="3"/>
    <d v="2018-12-04T00:00:00"/>
    <x v="218"/>
    <s v="North Mankato"/>
    <s v="Nicollet"/>
    <s v="MN"/>
    <s v="A longtime local business supplies company is now set to open a corporate office and showroom in North Mankato.River Bend Business Products will move into 1901 Lee Blvd on a lease. River Bend's retail space on Riverfront Drive will still remain open, but the business is separating its retail and office space with the move. Hansen told the council River Bend will need to renovate the Lee Boulevard property and may potentially sublease portions of its office space."/>
    <s v="Office (Non-HQ); Retail"/>
    <m/>
    <m/>
    <x v="0"/>
    <m/>
    <x v="0"/>
    <x v="8"/>
    <s v="http://www.mankatofreepress.com/news/local_news/n-mankato-clears-way-for-supply-company-relocation/article_d9d777ce-f7e4-11e8-afe6-4f5a4fa8f228.html"/>
    <m/>
    <s v="1901 Lee Blvd"/>
    <n v="56003"/>
    <n v="44.173459999999999"/>
    <n v="-94.043799000000007"/>
    <m/>
    <m/>
    <m/>
    <m/>
    <s v="River Bend Business Products"/>
    <s v="Fairmont"/>
    <s v="MN"/>
    <m/>
    <s v="South"/>
    <x v="0"/>
  </r>
  <r>
    <x v="3"/>
    <d v="2018-12-05T00:00:00"/>
    <x v="219"/>
    <s v="St Paul"/>
    <s v="Ramsey"/>
    <s v="MN"/>
    <s v="Named Extra-small Mfr of the year by MSP Business Journal. Podiumwear Custom Sports Apparel Co. keep a close eye on the quality of the skiing, cycling, running and soccer pieces they manufacture. Podiumwear was founded in 2003. Initially, Podiumwear used a private label company to manufacture its clothing, but in 2010 the team reinvented the business to manufacture the clothing in-house. Currently, the company employs 12 people. Over the next five to 10 years, plans to at least quadruple size."/>
    <m/>
    <m/>
    <n v="36"/>
    <x v="0"/>
    <m/>
    <x v="33"/>
    <x v="1"/>
    <s v="https://www.bizjournals.com/twincities/news/2018/12/05/2018-business-of-manufacturing-podiumwear-custom.html"/>
    <m/>
    <s v="626 Armstrong Ave S"/>
    <n v="55102"/>
    <n v="44.924934999999998"/>
    <n v="-93.126534000000007"/>
    <m/>
    <m/>
    <m/>
    <m/>
    <m/>
    <m/>
    <m/>
    <m/>
    <s v="Metro"/>
    <x v="0"/>
  </r>
  <r>
    <x v="3"/>
    <d v="2018-12-07T00:00:00"/>
    <x v="220"/>
    <s v="Mora"/>
    <s v="Kanabec"/>
    <s v="MN"/>
    <s v="Northstar Aluminum is a new business in the city of Mora that will manufacture large boats/pontoons. The project cost is estimated at $1.08 million and includes the construction of a new 15,000 square foot manufacturing plant in Mora's industrial park on a 6.31 acre parcel. The new plant will create 14 new jobs. They were awarded $200,000 in MIF funds for equipment purchase."/>
    <s v="Manufacturing"/>
    <n v="1080000"/>
    <n v="14"/>
    <x v="0"/>
    <n v="15000"/>
    <x v="22"/>
    <x v="1"/>
    <m/>
    <m/>
    <s v="N. Industrial Road"/>
    <n v="55051"/>
    <n v="45.881200999999997"/>
    <n v="-93.273011999999994"/>
    <s v="Government Financing"/>
    <m/>
    <m/>
    <m/>
    <m/>
    <m/>
    <m/>
    <m/>
    <s v="Central"/>
    <x v="0"/>
  </r>
  <r>
    <x v="3"/>
    <d v="2018-12-11T00:00:00"/>
    <x v="221"/>
    <s v="Maple Grove"/>
    <s v="Hennepin"/>
    <s v="MN"/>
    <s v="Maple Grove-based Francis Medical, a startup that spun out of med-tech company NxThera Inc., which was sold to Boston Scientific Corp. earlier this year, has raised $18 million in venture capital. Francis Medical will put the funding toward clinical trials as it prepares to roughly double its 10-person staff over the next year, said CEO Michael Kujak, who was previously NxThera's chief marketing officer and senior vice president of commercialization."/>
    <s v="Headquarters; Manufacturing; Research &amp; Dev"/>
    <m/>
    <n v="10"/>
    <x v="0"/>
    <m/>
    <x v="11"/>
    <x v="1"/>
    <s v="http://bit.ly/2SDUHGj"/>
    <m/>
    <s v="7351 Kirkwood Lane N Ste 138"/>
    <n v="55369"/>
    <n v="45.089714299999997"/>
    <n v="-93.436312400000006"/>
    <s v="Venture Capital"/>
    <m/>
    <m/>
    <m/>
    <m/>
    <m/>
    <m/>
    <m/>
    <s v="Metro"/>
    <x v="0"/>
  </r>
  <r>
    <x v="3"/>
    <d v="2018-12-11T00:00:00"/>
    <x v="222"/>
    <s v="Roseville"/>
    <s v="Ramsey"/>
    <s v="MN"/>
    <s v="Idaho-based SeaQuest Holdings LLC, a fast-growing developer of aquariums and other animal exhibits, will open an aquarium at Rosedale Center in Roseville next spring. Construction has already started on the two-level, 23,000-square foot attraction in the former Ruby Tuesday space near J.C. Penney. It will employ about 75 people and bring Rosedale into competition with the Mall of America's aquarium, called Sea Life Minnesota."/>
    <s v="Other"/>
    <m/>
    <n v="75"/>
    <x v="0"/>
    <n v="23000"/>
    <x v="0"/>
    <x v="12"/>
    <s v="http://www.startribune.com/rosedale-will-add-a-two-story-aquarium-next-spring/502472641/"/>
    <m/>
    <s v="1595 MN-36"/>
    <n v="55113"/>
    <n v="45.012901999999997"/>
    <n v="-93.170091999999997"/>
    <m/>
    <m/>
    <m/>
    <m/>
    <m/>
    <m/>
    <m/>
    <m/>
    <s v="Metro"/>
    <x v="0"/>
  </r>
  <r>
    <x v="3"/>
    <d v="2018-12-12T00:00:00"/>
    <x v="223"/>
    <s v="Faribault"/>
    <s v="Rice"/>
    <s v="MN"/>
    <s v="SageGlass will invest another $14M in Faribault plant, add jobs. SageGlass' investments will be primarily internal to existing facilities. The investments are planned over the next two years and will add a total of 16 new jobs. It's expected that the City Council will be asked to approve a resolution of support that would allow SageGlass to tap into [DEED's] Job Creation Fund. According to city CED Director Deanna Kuennen, Saint-Gobain approved the Faribault project in November."/>
    <s v="Manufacturing; Research &amp; Dev"/>
    <n v="14000000"/>
    <n v="16"/>
    <x v="0"/>
    <m/>
    <x v="6"/>
    <x v="1"/>
    <s v="http://bit.ly/2EunIRS"/>
    <m/>
    <s v="One Sage Way"/>
    <n v="55021"/>
    <n v="44.328389000000001"/>
    <n v="-93.291444999999996"/>
    <m/>
    <m/>
    <m/>
    <s v="y"/>
    <s v="Compagnie De Saint-Gobain SA"/>
    <m/>
    <m/>
    <s v="France"/>
    <s v="South"/>
    <x v="0"/>
  </r>
  <r>
    <x v="3"/>
    <d v="2018-12-13T00:00:00"/>
    <x v="224"/>
    <s v="Minnetonka"/>
    <s v="Hennepin"/>
    <s v="MN"/>
    <s v="&quot;NoSweat, market pioneer and creator of patented sweat-absorbing, disposable performance liners for hats, helmets, hard hats and visors, announces a five-year international licensing agreement with Minnetonka-based United Sports Brands, a global leader in sports performance and protective products. United Sports Brands, which has a big presence in the Twin Cities, is the parent company of brands such as Shock Doctor's mouth guards and McDavid's braces. 12 employees, adding 6 next year."/>
    <s v="Headquarters"/>
    <m/>
    <n v="6"/>
    <x v="0"/>
    <m/>
    <x v="33"/>
    <x v="1"/>
    <s v="https://www.bizjournals.com/twincities/businesswire/press_releases/Minnesota/2018/12/12/20181212005627"/>
    <m/>
    <s v="5421 Feltl Rd Ste 160"/>
    <n v="55343"/>
    <n v="44.904749000000002"/>
    <n v="-93.419859000000002"/>
    <m/>
    <m/>
    <m/>
    <m/>
    <m/>
    <m/>
    <m/>
    <m/>
    <s v="Metro"/>
    <x v="0"/>
  </r>
  <r>
    <x v="3"/>
    <d v="2018-12-13T00:00:00"/>
    <x v="225"/>
    <s v="Bloomington"/>
    <s v="Hennepin"/>
    <s v="MN"/>
    <s v="&quot;Mall of America's Sea Life Aquarium Introducing &quot;Brave the Rainforest&quot; Adventure in 2019. The $1 million project, set to be completed by next spring, is transforming an existing exhibit space into a section that will feature close encounters with crocodiles, piranhas, cockroaches, snakes, and more. This new section of the renowned 66,000-square-foot, 1.3 million-gallon Sea Life Aquarium will involve pop-up tanks, a creature meet-and-great Ranger Camp area, and special weather effects.&quot;"/>
    <s v="Other"/>
    <n v="1000000"/>
    <m/>
    <x v="0"/>
    <m/>
    <x v="0"/>
    <x v="12"/>
    <s v="http://tcbmag.com/news/articles/2018/december/mall-of-america-spending-1-million-to-transform-sea-life-aquarium-into-rainforest-exhibit"/>
    <m/>
    <s v="120 E Broadway Mall of America"/>
    <n v="55425"/>
    <n v="44.853900899999999"/>
    <n v="-93.240501399999999"/>
    <m/>
    <m/>
    <m/>
    <s v="y"/>
    <s v="Merlin Entertainments Group Ltd"/>
    <s v="Poole"/>
    <m/>
    <s v="United Kingdom"/>
    <s v="Metro"/>
    <x v="0"/>
  </r>
  <r>
    <x v="3"/>
    <d v="2018-12-31T00:00:00"/>
    <x v="226"/>
    <s v="Minneapolis"/>
    <s v="Hennepin"/>
    <s v="MN"/>
    <s v="Canteen Vending had outgrown its Minneapolis office of 3,000 square feet. And its warehouse, where vending machines are repaired and shipped out, wasn't much better. For a new space, Canteen found a building in Southeast Minneapolis which had sat unused for years. Part of it was torn down to build a new, 12,000-sq-ft office. The rest of the 135,000-square-foot building became warehouse space. Canteen doubled in size, in revenue and employees, and increased 4x in space. New space opened: Nov 2018"/>
    <s v="Headquarters"/>
    <m/>
    <m/>
    <x v="0"/>
    <n v="101000"/>
    <x v="0"/>
    <x v="8"/>
    <s v="https://www.bizjournals.com/twincities/news/2019/02/26/cool-offices-canteen-vending-quadruples-its-space.html"/>
    <s v="MSP Business Journal"/>
    <s v="700 24th Ave SE"/>
    <n v="55414"/>
    <n v="44.980761999999999"/>
    <n v="-93.216716000000005"/>
    <m/>
    <m/>
    <m/>
    <m/>
    <m/>
    <m/>
    <m/>
    <m/>
    <s v="Metro"/>
    <x v="0"/>
  </r>
  <r>
    <x v="3"/>
    <d v="2018-12-31T00:00:00"/>
    <x v="227"/>
    <s v="Plymouth"/>
    <s v="Hennepin"/>
    <s v="MN"/>
    <s v="Carlson Advisors was in need of a shake up. They had been in the same Brooklyn Park office for three decades. Worse, their name misled some to think the company was a financial-services firm, as opposed to a CPA firm that offered financial consulting. In November 2017, partners at the firm began looking for new space and a new name for the company. Flash forward to 2019. The firm, now called LB Carlson, is settling at its new HQ (moved 7/2018). Since the move they have hired 5 employees."/>
    <s v="Headquarters"/>
    <m/>
    <n v="5"/>
    <x v="0"/>
    <n v="700000"/>
    <x v="34"/>
    <x v="4"/>
    <s v="https://www.bizjournals.com/twincities/news/2019/02/15/accounting-firm-rebrands-relocates-from-brooklyn.html"/>
    <m/>
    <m/>
    <m/>
    <n v="45.083099400000002"/>
    <n v="-93.390701300000003"/>
    <m/>
    <m/>
    <m/>
    <m/>
    <m/>
    <m/>
    <m/>
    <m/>
    <s v="Metro"/>
    <x v="0"/>
  </r>
  <r>
    <x v="3"/>
    <d v="2018-12-31T00:00:00"/>
    <x v="228"/>
    <s v="Brooklyn Center"/>
    <s v="Hennepin"/>
    <s v="MN"/>
    <s v="The 70-year-old truck engine-repair firm Reviva has launched a new division that will refurbish gasoline-powered engines for Hoglund Bus Co., Aramark, a Coca-Cola subsidiary and other companies with large fleets. Reviva is the largest independent refurbisher of diesel engines in North America, and employs 180 workers in Fridley and 20 in Brooklyn Center. In 2018, the small family-owned company in Fridley built a new $750,000 23,000 SF facility in Brooklyn Center."/>
    <s v="Manufacturing"/>
    <n v="750000"/>
    <m/>
    <x v="0"/>
    <n v="23000"/>
    <x v="4"/>
    <x v="1"/>
    <s v="http://www.startribune.com/twin-cities-company-makes-name-refurbishing-engines-for-ups-other-big-fleets/506527392/ AND https://www.nbc-2.com/story/39830148/reviva-gas-engine-division-and-hoglund-bus-company-launch-remanufactured-drop-in-gas-engine-program"/>
    <m/>
    <s v="3900 50th Ave N _x000a_Ste 210"/>
    <n v="55429"/>
    <n v="45.046559999999999"/>
    <n v="-93.332577000000001"/>
    <m/>
    <m/>
    <m/>
    <m/>
    <m/>
    <m/>
    <m/>
    <m/>
    <s v="Metro"/>
    <x v="0"/>
  </r>
  <r>
    <x v="3"/>
    <d v="2018-12-31T00:00:00"/>
    <x v="229"/>
    <s v="Medford"/>
    <s v="Steele"/>
    <s v="MN"/>
    <s v="Minnesota startup is bringing production to the very different climate of the upper Midwest. Medford-based Revol Greens sold its first shipment of produce early 2018 to grocers such as Hy-Vee and Cub Foods, and less than a year later it is already raising capital to expand. Although specific details of the expansion are still being nailed down, Amis said it would more than double Revol's existing greenhouse space and said construction plans would be put together in 2019."/>
    <s v="Headquarters"/>
    <m/>
    <m/>
    <x v="0"/>
    <n v="132000"/>
    <x v="0"/>
    <x v="14"/>
    <s v="https://finance-commerce.com/2018/12/medford-greens-grower-raises-funds-to-expand/"/>
    <m/>
    <s v="2781 NW 50th St"/>
    <n v="55049"/>
    <n v="44.146053000000002"/>
    <n v="-93.257930999999999"/>
    <m/>
    <m/>
    <m/>
    <m/>
    <m/>
    <m/>
    <m/>
    <m/>
    <s v="South"/>
    <x v="0"/>
  </r>
  <r>
    <x v="3"/>
    <d v="2018-12-31T00:00:00"/>
    <x v="230"/>
    <s v="Minneapolis"/>
    <s v="Hennepin"/>
    <s v="MN"/>
    <s v="Was completed in 2018 but article appeared in 1/2019. The Stable, a consumer-brand marketing agency founded in 2015, recently transformed/connected the second levels of two century-old buildings at Ninth and Nicollet in downtown Minneapolis that had been sitting empty for years. The six-month, roughly $600,000 renovation designed by Peterssen/Keller Architecture resulted in a modern, industrial-style open workspace for the 30-plus employees who work at The Stable?s Minneapolis headquarters."/>
    <s v="Headquarters"/>
    <n v="600000"/>
    <m/>
    <x v="0"/>
    <m/>
    <x v="10"/>
    <x v="4"/>
    <s v="http://tcbmag.com/news/articles/2019/january/office-envy-the-stable-s-industrial-style-headqua"/>
    <m/>
    <s v="923 Nicollet Mall Ste 300"/>
    <n v="55402"/>
    <n v="44.974207999999997"/>
    <n v="-93.274047999999993"/>
    <m/>
    <m/>
    <m/>
    <m/>
    <m/>
    <m/>
    <m/>
    <m/>
    <s v="Metro"/>
    <x v="0"/>
  </r>
  <r>
    <x v="4"/>
    <d v="2019-01-08T00:00:00"/>
    <x v="231"/>
    <s v="Minneapolis"/>
    <s v="Hennepin"/>
    <s v="MN"/>
    <s v="Another out-of-town law firm is coming to the Twin Cities.Spencer Fane, based in Kansas City, Mo., opened a Minneapolis office Tuesday. The initial three attorneys are Donald Heeman, Jessica Nelson and Randi Winter; all three previously worked for Felhaber Larson. Heeman will act as the office's managing partner. Spencer is an all-purpose law firm with more than a dozen offices primarily in the middle of the country. Its initial office will be in Fifth Street Towers in downtown Minneapolis."/>
    <s v="Office (Non-HQ)"/>
    <m/>
    <n v="3"/>
    <x v="0"/>
    <m/>
    <x v="17"/>
    <x v="4"/>
    <s v="https://www.bizjournals.com/twincities/news/2019/01/08/law-firm-spencer-fane-expanding-to-twin-cities.html"/>
    <s v="MSP Business Journal"/>
    <s v="100 S 5th St Ste 1900"/>
    <n v="55402"/>
    <n v="44.978382000000003"/>
    <n v="-93.269256999999996"/>
    <m/>
    <m/>
    <m/>
    <m/>
    <s v="Spencer Fane"/>
    <s v="Kansas City"/>
    <s v="MO"/>
    <m/>
    <s v="Metro"/>
    <x v="1"/>
  </r>
  <r>
    <x v="4"/>
    <d v="2019-01-08T00:00:00"/>
    <x v="91"/>
    <s v="Eagan"/>
    <s v="Dakota"/>
    <s v="MN"/>
    <s v="Sun Country Airlines is adding 19 seasonal routes this spring in its largest expansion ever, with eight from Minneapolis-St. Paul International Airport including one to Chicago with a $49 starting price. Twin Cities passengers will soon have nonstop access on Sun Country to Chicago O'Hare, Washington Dulles, Newark, Philadelphia, Providence, R.I., Sacramento, San Antonio and St. Louis. The airline also said it will add about 160 jobs in the Twin Cities, a 10 percent jump in employment."/>
    <s v="Headquarters"/>
    <m/>
    <n v="160"/>
    <x v="0"/>
    <m/>
    <x v="0"/>
    <x v="3"/>
    <s v="http://www.startribune.com/sun-country-rolls-out-most-new-routes-ever-including-49-one-way-from-msp-to-o-hare/504048002/"/>
    <s v="Star Tribune"/>
    <s v="1300 Corporate Center Curve"/>
    <n v="55121"/>
    <n v="44.855744000000001"/>
    <n v="-93.161086999999995"/>
    <m/>
    <m/>
    <m/>
    <m/>
    <m/>
    <m/>
    <m/>
    <m/>
    <s v="Metro"/>
    <x v="1"/>
  </r>
  <r>
    <x v="4"/>
    <d v="2019-01-09T00:00:00"/>
    <x v="232"/>
    <s v="Eyota"/>
    <s v="Olmsted"/>
    <s v="MN"/>
    <s v="Rochester growth drives proposed fuel plant expansion. Oklahoma-based Magellan Midstream Partners wants to bulk up its fuel production plant in Eyota Township, just 7 miles outside Rochester. Magellan hopes to add a 5 million-gallon above-ground gasoline storage tank and related infrastructure to the plant, which anchors a 30.7-acre site at the corner of Highways 42 and 14. The project, which could begin this spring, is undergoing environmental review from the MN PCA."/>
    <s v="Other"/>
    <m/>
    <m/>
    <x v="0"/>
    <m/>
    <x v="0"/>
    <x v="3"/>
    <s v="https://finance-commerce.com/2019/01/rochester-growth-drives-proposed-fuel-plant-expansion/"/>
    <s v="Finance &amp; Commerce"/>
    <m/>
    <n v="55394"/>
    <n v="44.805486999999999"/>
    <n v="-93.766524000000004"/>
    <m/>
    <m/>
    <m/>
    <m/>
    <s v="Magellan Midstream Partners"/>
    <s v="Tulsa"/>
    <s v="OK"/>
    <m/>
    <s v="South"/>
    <x v="1"/>
  </r>
  <r>
    <x v="4"/>
    <d v="2019-01-09T00:00:00"/>
    <x v="233"/>
    <s v="Minneapolis"/>
    <s v="Hennepin"/>
    <s v="MN"/>
    <s v="Qumulo, the pioneer of hybrid cloud storage, announced the opening of a new Minneapolis office to take advantage of the strong digital and marketing and optimization talent in the Twin Cities. It currently employs six in downtown's WeWork space. 'With this additional location, we're able to better serve our rapidly growing customer base. We are doubling down on our technology innovation as we continue to expand our team and presence in the coming year,' said Peter Zaballos, CMP at Qumulo."/>
    <s v="Office (Non-HQ)"/>
    <m/>
    <n v="6"/>
    <x v="0"/>
    <m/>
    <x v="29"/>
    <x v="9"/>
    <s v="http://bit.ly/2RFoOAg"/>
    <s v="Other"/>
    <m/>
    <n v="55402"/>
    <n v="44.975915000000001"/>
    <n v="-93.271825000000007"/>
    <m/>
    <m/>
    <m/>
    <m/>
    <s v="Qumulo"/>
    <s v="Seattle"/>
    <s v="WA"/>
    <m/>
    <s v="Metro"/>
    <x v="1"/>
  </r>
  <r>
    <x v="4"/>
    <d v="2019-01-11T00:00:00"/>
    <x v="234"/>
    <s v="Elk River"/>
    <s v="Sherburne"/>
    <s v="MN"/>
    <s v="Alliance Machine in Elk River recently doubled its staff to 50 and expects to double again in five years. It won a Minnesota Apprenticeship Initiative (MAI) grant last year. The two apprenticeships require 2,000 hours of on-the-job training at Alliance Machine and 144 hours of classes with Tooling U-SME."/>
    <s v="Headquarters; Office (Non-HQ)"/>
    <m/>
    <n v="50"/>
    <x v="0"/>
    <m/>
    <x v="4"/>
    <x v="1"/>
    <s v="http://www.startribune.com/apprenticeship-programs-abound-as-labor-shortage-deepens-in-minnesota/504173842/"/>
    <s v="Star Tribune"/>
    <s v="17520 Tyler St NW"/>
    <n v="55330"/>
    <n v="45.289095000000003"/>
    <n v="-93.545381000000006"/>
    <s v="Government Financing"/>
    <s v="MAI"/>
    <m/>
    <m/>
    <m/>
    <m/>
    <m/>
    <m/>
    <s v="Central"/>
    <x v="1"/>
  </r>
  <r>
    <x v="4"/>
    <d v="2019-01-14T00:00:00"/>
    <x v="235"/>
    <s v="Wayzata"/>
    <s v="Hennepin"/>
    <s v="MN"/>
    <s v="MRA Associates, one of the largest wealth management firms in Phoenix, recently opened a location in the Wayzata. The new office will be led by Bruce Paulson and Jennifer Arps, according to a news release. Paulson previously worked for the Minneapolis-based Okabena Co. and Arps worked for Minneapolis-based Dougherty &amp; Co. Last year, MRA ranked No. 1 in the Phoenix Business Journals's Investment Advisers list."/>
    <s v="Office (Non-HQ)"/>
    <m/>
    <n v="2"/>
    <x v="0"/>
    <m/>
    <x v="0"/>
    <x v="6"/>
    <s v="https://www.bizjournals.com/twincities/news/2019/01/14/phoenix-based-wealth-management-firm-moving-into.html"/>
    <s v="MSP Business Journal"/>
    <s v="1907 Wayzata Blvd Ste 200"/>
    <n v="55391"/>
    <n v="44.971736"/>
    <n v="-93.490223"/>
    <m/>
    <m/>
    <m/>
    <m/>
    <s v="MRA Associates"/>
    <s v="Phoenix"/>
    <s v="AZ"/>
    <m/>
    <s v="Metro"/>
    <x v="1"/>
  </r>
  <r>
    <x v="4"/>
    <d v="2019-01-15T00:00:00"/>
    <x v="236"/>
    <s v="Vadnais Heights"/>
    <s v="Ramsey"/>
    <s v="MN"/>
    <s v="An indoor golf facility with a bar is set to open in Vadnais Heights this weekend. Element Indoor Golf Club will be open to the public and feature five hitting bays with simulators where golfers can play 186 different courses throughout the world. Interior construction started last fall and they figure it cost between $200,000 and $250,000 to open the 9,600 square foot facility."/>
    <s v="Headquarters"/>
    <n v="250000"/>
    <m/>
    <x v="0"/>
    <n v="9600"/>
    <x v="0"/>
    <x v="12"/>
    <s v="https://www.bizjournals.com/twincities/news/2019/01/15/indoor-golf-driving-range-and-bar-to-open-in.html"/>
    <s v="MSP Business Journal"/>
    <s v="4255 White Bear Pkwy Ste 2100"/>
    <n v="55110"/>
    <n v="45.068064"/>
    <n v="-93.049961999999994"/>
    <m/>
    <m/>
    <m/>
    <m/>
    <m/>
    <m/>
    <m/>
    <m/>
    <s v="Metro"/>
    <x v="1"/>
  </r>
  <r>
    <x v="4"/>
    <d v="2019-01-18T00:00:00"/>
    <x v="237"/>
    <s v="Minneapolis"/>
    <s v="Hennepin"/>
    <s v="MN"/>
    <s v="CommonGrounds Workspace, a San Diego-based coworking company, is building an office in the former TCF Bank atrium building at 801 Marquette Ave. The 801 Marquette space will open in June. CommonGrounds signed an 11-year lease for 27,500 square feet on the skyway level of the building.. A $2.7 million buildout is underway, according to city building permits. Earlier this week, CommonGrounds announced it had secured $100 million in Series A funding to support the company's growth goals."/>
    <s v="Office (Non-HQ)"/>
    <n v="2700000"/>
    <m/>
    <x v="0"/>
    <n v="27500"/>
    <x v="0"/>
    <x v="2"/>
    <s v="https://www.bizjournals.com/twincities/news/2019/01/18/coworking-company-with-100m-war-chest-opening.html"/>
    <s v="MSP Business Journal"/>
    <s v="801 S Marquette Ave"/>
    <n v="55402"/>
    <n v="44.974808000000003"/>
    <n v="-93.271446999999995"/>
    <m/>
    <m/>
    <m/>
    <m/>
    <s v="CommonGrounds Workspace"/>
    <s v="San Diego"/>
    <s v="CA"/>
    <m/>
    <s v="Metro"/>
    <x v="1"/>
  </r>
  <r>
    <x v="4"/>
    <d v="2019-01-24T00:00:00"/>
    <x v="238"/>
    <s v="Minneapolis"/>
    <s v="Hennepin"/>
    <s v="MN"/>
    <s v="Minneapolis-based payments-software firm Apruve has raised $6 million dollars in venture funding. Apruve makes software to help handle invoicing and payment processes between businesses. It had raised $2.2 million in an earlier round. It has already landed big-name customers like Texas Instruments and Boxed. They hope to add at least five new jobs, as well as directing more money to research and development. Apruve is the 19th largest software-as-a-service company in the Twin Cities metro."/>
    <m/>
    <m/>
    <n v="5"/>
    <x v="0"/>
    <m/>
    <x v="0"/>
    <x v="6"/>
    <s v="https://www.bizjournals.com/twincities/news/2019/01/24/software-company-apruve-raises-6-million.html"/>
    <s v="MSP Business Journal"/>
    <s v="110 N 5th St"/>
    <n v="55403"/>
    <n v="44.981164999999997"/>
    <n v="-93.274092999999993"/>
    <s v="Venture Capital"/>
    <m/>
    <m/>
    <m/>
    <m/>
    <m/>
    <m/>
    <m/>
    <s v="Metro"/>
    <x v="1"/>
  </r>
  <r>
    <x v="4"/>
    <d v="2019-01-28T00:00:00"/>
    <x v="239"/>
    <s v="Golden Valley"/>
    <s v="Hennepin"/>
    <s v="MN"/>
    <s v="Relocation from Golden Valley to Brooklyn Park. Relocating 150 jobs and creating 58 new jobs over the subsequent period of five years (of these, 52 jobs w/n 3 years... and 37 of which pay an average $33.91/hr). The company is proposing to move into an existing 147,400 square-foot facility located at 7325 Aspen Ln N. MGK estimates $13.95 million in investment to acquire the facility and up-fit the building. May 2019: Job Creation Fund Award $425K"/>
    <s v="Headquarters"/>
    <n v="13950000"/>
    <n v="58"/>
    <x v="0"/>
    <n v="119400"/>
    <x v="28"/>
    <x v="1"/>
    <s v="https://www.brooklynpark.org/wp-content/uploads/2019/09/ccep012819rm.pdf  (page 238-)"/>
    <s v="Other"/>
    <s v="8810 10th Ave N"/>
    <n v="55427"/>
    <n v="44.990169999999999"/>
    <n v="-93.391178999999994"/>
    <s v="Government Financing"/>
    <s v="JCF"/>
    <s v="425000"/>
    <s v="y"/>
    <s v="Sumitomo Chemical"/>
    <s v="Tokyo"/>
    <m/>
    <s v="Japan"/>
    <s v="Metro"/>
    <x v="1"/>
  </r>
  <r>
    <x v="4"/>
    <d v="2019-01-29T00:00:00"/>
    <x v="240"/>
    <s v="Minnetonka"/>
    <s v="Hennepin"/>
    <s v="MN"/>
    <s v="Boom Island Brewing submitted plans to move its brewery from North Minneapolis to Baker Technology Plaza, a five-building office campus in Minnetonka.The proposed 9000 SF space in Minnetonka will have a taproom, a kitchen area, a private event area, an outdoor patio, production area, bottling line, and is 3 times their current space. With the expansion, the brewery is hiring an assistant brewer and will likely hire more employees when the brewery opens. Plan to open in Minnetonka this July."/>
    <s v="Headquarters; Manufacturing; Dining"/>
    <m/>
    <m/>
    <x v="0"/>
    <n v="6000"/>
    <x v="1"/>
    <x v="1"/>
    <s v="https://www.bizjournals.com/twincities/news/2019/01/29/boom-island-brewing-will-move-from-north.html"/>
    <s v="MSP Business Journal"/>
    <s v="5959 Baker Road"/>
    <n v="55345"/>
    <n v="44.894705000000002"/>
    <n v="-93.446647999999996"/>
    <m/>
    <m/>
    <m/>
    <m/>
    <m/>
    <m/>
    <m/>
    <m/>
    <s v="Metro"/>
    <x v="1"/>
  </r>
  <r>
    <x v="4"/>
    <d v="2019-01-29T00:00:00"/>
    <x v="91"/>
    <s v="Eagan"/>
    <s v="Dakota"/>
    <s v="MN"/>
    <s v="Going into 2019, Sun Country plans a $6 million investment on new IT systems, launched its biggest route expansion in company history, started converting its fleet from leased to company-owned, and made plans to move its headquarters into a hangar at the Minneapolis-St. Paul International Airport."/>
    <s v="Headquarters"/>
    <n v="6000000"/>
    <m/>
    <x v="0"/>
    <m/>
    <x v="0"/>
    <x v="3"/>
    <s v="https://www.bizjournals.com/twincities/news/2019/01/29/sun-country-ceo-jude-bricker-is-cutting-frills.html"/>
    <s v="MSP Business Journal"/>
    <s v="1300 Corporate Center Curve"/>
    <n v="55121"/>
    <n v="44.855744000000001"/>
    <n v="-93.161086999999995"/>
    <m/>
    <m/>
    <m/>
    <m/>
    <m/>
    <m/>
    <m/>
    <m/>
    <s v="Metro"/>
    <x v="1"/>
  </r>
  <r>
    <x v="4"/>
    <d v="2019-01-30T00:00:00"/>
    <x v="241"/>
    <s v="Chaska"/>
    <s v="Carver"/>
    <s v="MN"/>
    <s v="ARYZTA® North America is excited to announce a frozen cookie dough line extension at its Fresh Start Bakeries plant in Chaska, Minnesota, which produces Otis Spunkmeyer® branded cookies and custom cookies for retail, convenience and foodservice customers. Scheduled to open in March 2019, the new state-of-the-art line will add a third line to the bakery's current two-line footprint, expanding the bakery's production capacity by more than 40% and add 30 new jobs."/>
    <s v="Manufacturing"/>
    <m/>
    <n v="30"/>
    <x v="0"/>
    <m/>
    <x v="1"/>
    <x v="1"/>
    <s v="https://www.businesswire.com/news/home/20190130005080/en/ARYZTA-Announces-Cookie-Line-Extension-Chaska-MN"/>
    <s v="Other"/>
    <s v="4075 Norex Dr"/>
    <n v="55318"/>
    <n v="44.851785999999997"/>
    <n v="-93.588369999999998"/>
    <m/>
    <m/>
    <m/>
    <s v="y"/>
    <s v="ARYZTA"/>
    <s v="Zurich"/>
    <m/>
    <s v="Switzerland"/>
    <s v="Metro"/>
    <x v="1"/>
  </r>
  <r>
    <x v="4"/>
    <d v="2019-01-31T00:00:00"/>
    <x v="242"/>
    <s v="Edina"/>
    <s v="Hennepin"/>
    <s v="MN"/>
    <s v="The Riveter focuses on women workers and entrepreneurs. Amy Nelson quit her job as an attorney to start The Riveter in 2017. Nelson says that Riveter spaces are typically 10,000 to 12,000 square feet. Space is in Edina. In December 2018, Riveter raised a $20.5 million round of funding. Riveter is breaking from the traditional coworking format by also providing plenty of perks and programming that helps local entrepreneurs. "/>
    <s v="Office (Non-HQ)"/>
    <m/>
    <m/>
    <x v="0"/>
    <n v="12000"/>
    <x v="0"/>
    <x v="2"/>
    <s v="http://tcbmag.com/news/articles/2019/january/the-riveter-co-working-aimed-at-women-set-to-open-in-twin-cities"/>
    <s v="Twin Cities Business"/>
    <s v="4388 France Ave S"/>
    <n v="55410"/>
    <n v="44.922747999999999"/>
    <n v="-93.329415999999995"/>
    <s v="Venture Capital"/>
    <m/>
    <m/>
    <m/>
    <s v="The Riveter"/>
    <s v="Seattle"/>
    <s v="WA"/>
    <m/>
    <s v="Metro"/>
    <x v="1"/>
  </r>
  <r>
    <x v="4"/>
    <d v="2019-02-03T00:00:00"/>
    <x v="243"/>
    <s v="New Brighton"/>
    <s v="Ramsey"/>
    <s v="MN"/>
    <s v="Germany's privately held Pepperl+Fuchs, a diversified producer of industrial sensors and other automation technology, plans to invest in and grow Comtrol. Starting Feb. 1, the division will be known as Pepperl+Fuchs Comtrol. In fact, Comtrol, with 55 employees and $13 million in revenue, expects to increase its workforce by 10 percent this year thanks to Pepperl's investment."/>
    <s v="Headquarters"/>
    <m/>
    <n v="5"/>
    <x v="0"/>
    <m/>
    <x v="23"/>
    <x v="1"/>
    <s v="http://www.startribune.com/german-firm-buys-comtrol-a-manufacturer-that-survived-founder-s-legal-trouble-recession/505222132/"/>
    <s v="Star Tribune"/>
    <s v="100 5th Ave NW"/>
    <n v="55112"/>
    <n v="45.051921"/>
    <n v="-93.193682999999993"/>
    <m/>
    <m/>
    <m/>
    <s v="y"/>
    <s v="Pepperl+Fuchs"/>
    <s v="Mannheim"/>
    <m/>
    <s v="Germany"/>
    <s v="Metro"/>
    <x v="1"/>
  </r>
  <r>
    <x v="4"/>
    <d v="2019-02-08T00:00:00"/>
    <x v="244"/>
    <s v="Eden Prairie"/>
    <s v="Hennepin"/>
    <s v="MN"/>
    <s v="MIVI Neuroscience Inc., a maker of medical technology that treats strokes, has closed on a $10 million funding round, according to a recent regulatory filing. MIVI has about 20 employees in Eden Prairie. The company, founded in 2013,plans to expand on that number this year. It will also add employees in Europe to support the clinical trials."/>
    <s v="Headquarters"/>
    <m/>
    <m/>
    <x v="0"/>
    <m/>
    <x v="11"/>
    <x v="1"/>
    <s v="https://www.bizjournals.com/twincities/news/2019/02/08/eden-prairies-mivi-neuroscience-closes-on-10.html"/>
    <s v="MSP Business Journal"/>
    <s v="6545 City W Pkwy"/>
    <n v="55344"/>
    <n v="44.850563000000001"/>
    <n v="-93.440428999999995"/>
    <s v="Venture Capital"/>
    <m/>
    <m/>
    <m/>
    <m/>
    <m/>
    <m/>
    <m/>
    <s v="Metro"/>
    <x v="1"/>
  </r>
  <r>
    <x v="4"/>
    <d v="2019-02-12T00:00:00"/>
    <x v="245"/>
    <s v="Edina"/>
    <s v="Hennepin"/>
    <s v="MN"/>
    <s v="AHEAD, a provider of enterprise cloud solutions, will relocate its Minneapolis office to the Edina Tech Center at 5151 Industrial Blvd in Edina. The newly renovated 3,000 square-foot space features spacious collaborative work areas and a state-of-the-art conference center for AHEAD's partners and clients. AHEAD's two-year anniversary is in Minneapolis. First established in February 2017 with 5 people, then had 31 people by end of 2018. AHEAD will continue to aggressively hire local IT talent..."/>
    <s v="Headquarters"/>
    <m/>
    <m/>
    <x v="0"/>
    <m/>
    <x v="3"/>
    <x v="4"/>
    <s v="https://www.prweb.com/releases/ahead_expands_presence_in_minneapolis_opens_new_office_in_edina_tech_center_to_accommodate_rapid_growth/prweb16096731.htm"/>
    <s v="Other"/>
    <s v="5151 Edina Industrial Blvd"/>
    <n v="55439"/>
    <n v="44.862563999999999"/>
    <n v="-93.355079000000003"/>
    <m/>
    <m/>
    <m/>
    <m/>
    <m/>
    <m/>
    <m/>
    <m/>
    <s v="Metro"/>
    <x v="1"/>
  </r>
  <r>
    <x v="4"/>
    <d v="2019-02-13T00:00:00"/>
    <x v="73"/>
    <s v="Duluth"/>
    <s v="St Louis"/>
    <s v="MN"/>
    <s v="Essentia Health has purchased the former Younkers store at the Miller Hill Mall in Duluth. Essentia Health plans to invest $15 million in the purchase and remodeling of the 145,000-square-foot department store. The Essentia Health Fitness &amp; Therapy Center will move into the first floor this fall. Plans are being developed for the rest of the building. The new center will replace the one on Essentia's downtown Duluth campus; staff from downtown will relocate to the mall location."/>
    <s v="Healthcare Facility"/>
    <n v="15000000"/>
    <m/>
    <x v="0"/>
    <m/>
    <x v="0"/>
    <x v="0"/>
    <s v="https://www.essentiahealth.org/about/media-article-library/2019/essentia-health-purchases-former-younkers-store/"/>
    <s v="Other"/>
    <s v="1600 Miller Trunk Hwy"/>
    <n v="55811"/>
    <n v="46.804327000000001"/>
    <n v="-92.159522999999993"/>
    <m/>
    <m/>
    <m/>
    <m/>
    <s v="Essentia Health"/>
    <s v="Proctor"/>
    <s v="MN"/>
    <m/>
    <s v="North"/>
    <x v="1"/>
  </r>
  <r>
    <x v="4"/>
    <d v="2019-02-15T00:00:00"/>
    <x v="246"/>
    <s v="Minneapolis"/>
    <s v="Hennepin"/>
    <s v="MN"/>
    <s v="Branch is up for a South by Southwest award as the firm expands features for workers on its scheduling app, such as swapping shifts with co-workers and collecting an advance on pay after completing a shift. Branch does not charge employees for its services. Employers pay a fee per employee to use the app as their scheduling tool. After receiving $10 million in venture funding in 2017, it has expanded to 50, with plans to add 20 more employees."/>
    <s v="Headquarters"/>
    <m/>
    <n v="20"/>
    <x v="0"/>
    <m/>
    <x v="16"/>
    <x v="9"/>
    <s v="http://www.startribune.com/minneapolis-startup-company-adds-pay-advances-to-scheduling-app-features/505900772/"/>
    <s v="Star Tribune"/>
    <s v="60 South 6th St Ste 2800"/>
    <n v="55402"/>
    <n v="44.977772000000002"/>
    <n v="-93.270821999999995"/>
    <m/>
    <m/>
    <m/>
    <m/>
    <m/>
    <m/>
    <m/>
    <m/>
    <s v="Metro"/>
    <x v="1"/>
  </r>
  <r>
    <x v="4"/>
    <d v="2019-02-20T00:00:00"/>
    <x v="247"/>
    <s v="Mahtomedi"/>
    <s v="Washington"/>
    <s v="MN"/>
    <s v="Chuck &amp; Don's, the Twin Cities chain of pet-supply stores that was just acquired by a New York buyer (Independent Pet Partners, IPP), may boost its local workforce and add grooming and daycare services following the deal, Tom Murphy, Chuck &amp; Don's CFO, said. Chuck &amp; Don's is working on integrating plans with IPP staff in its Mahtomedi headquarters. It currently has 55 corporate employees. IPP will use the space as a co-HQ and add some IPP mgrs. IPP will add new services, remodel some stores."/>
    <s v="Headquarters; Office (Non-HQ)"/>
    <m/>
    <m/>
    <x v="0"/>
    <m/>
    <x v="0"/>
    <x v="8"/>
    <s v="https://www.bizjournals.com/twincities/news/2019/02/20/whats-next-for-chuck-dons-after-buyout-more.html"/>
    <s v="MSP Business Journal"/>
    <s v="910 Wildwood Rd"/>
    <n v="55115"/>
    <n v="45.049830999999998"/>
    <n v="-92.983590000000007"/>
    <m/>
    <m/>
    <m/>
    <m/>
    <s v="Independent Pet Partners, IPP"/>
    <m/>
    <s v="NY"/>
    <m/>
    <s v="Metro"/>
    <x v="1"/>
  </r>
  <r>
    <x v="4"/>
    <d v="2019-02-21T00:00:00"/>
    <x v="248"/>
    <s v="St. Michael"/>
    <s v="Wright"/>
    <s v="MN"/>
    <s v="The St. Michael City Council approved plans for Rachel Contracting to construct a new two-story headquarters at its current site at Hwy. 241.  The company, located at the Hwy. 241 Business Park, proposes a 28,000-square-foot, two-story office building. Rachel will continue to use its existing adjacent building at Napier Court for maintenance and storage. "/>
    <s v="HQ, OF"/>
    <m/>
    <m/>
    <x v="0"/>
    <n v="28000"/>
    <x v="35"/>
    <x v="11"/>
    <s v="https://www.hometownsource.com/press_and_news/community/stmichael/st-michael-approves-new-rachel-contracting-headquarters/article_54eddcfa-3601-11e9-b835-273c20abded1.html#:~:text=Michael%20City%20Council%20approved%20plans,241.&amp;text=WhatsApp-,The%20St.,its%20current%20site%20at%20Hwy."/>
    <m/>
    <s v="4180 Napier Ct NE"/>
    <n v="55376"/>
    <n v="45.215488000000001"/>
    <n v="-93.616086999999993"/>
    <m/>
    <m/>
    <m/>
    <m/>
    <m/>
    <m/>
    <m/>
    <m/>
    <s v="Central"/>
    <x v="1"/>
  </r>
  <r>
    <x v="4"/>
    <d v="2019-02-26T00:00:00"/>
    <x v="249"/>
    <s v="Maplewood"/>
    <s v="Ramsey"/>
    <s v="MN"/>
    <s v="3M Co. opened a new Consumer Data Science and Merchandising Lab at its Maplewood headquarters to help retailers and 3M boost product sales, find efficiencies in the factory-to-delivery process and even test if the type on labels is the right size. 3M's Consumer Business Group spent two years developing the multimillion-dollar initiative and last year building out the large and sleek space. The lab is split into three distinct areas: Data Science and Analytics, Visualization, and Retail. "/>
    <s v="Headquarters; Manufacturing; Research &amp; Dev"/>
    <m/>
    <m/>
    <x v="0"/>
    <n v="24592"/>
    <x v="18"/>
    <x v="1"/>
    <s v="http://www.startribune.com/3m-s-opens-multimillion-dollar-consumer-data-lab-on-maplewood-campus/506397902/"/>
    <s v="Star Tribune"/>
    <s v="3M Center"/>
    <n v="55109"/>
    <n v="45.014550999999997"/>
    <n v="-93.025535000000005"/>
    <m/>
    <m/>
    <m/>
    <m/>
    <m/>
    <m/>
    <m/>
    <m/>
    <s v="Metro"/>
    <x v="1"/>
  </r>
  <r>
    <x v="4"/>
    <d v="2019-02-26T00:00:00"/>
    <x v="250"/>
    <s v="Minnetonka"/>
    <s v="Hennepin"/>
    <s v="MN"/>
    <s v="Minnetonka-based PeopleNet plans to add about 250 full-time employees to its current staff of 483. PeopleNet makes mobile devices and systems for fleets of commercial vehicles. The company currently leases space in three offices in Minnetonka and in a warehouse in Eden Prairie that functions as office space. PeopleNet plans to enter into a long-term lease for about 146,500 square feet at 4400 Baker Road, and add new space at 4350 Baker Road. Estimated cost is $12.5 million. Update: 10/1/19 JCF award $600,000"/>
    <s v="Headquarters; Other"/>
    <n v="12500000"/>
    <n v="250"/>
    <x v="0"/>
    <m/>
    <x v="16"/>
    <x v="9"/>
    <s v="https://www.bizjournals.com/twincities/news/2019/02/26/peoplenet-planning-to-add-250-jobs-in-minnetonka.html"/>
    <s v="MSP Business Journal"/>
    <s v="4350 Baker Road"/>
    <n v="55343"/>
    <n v="44.923053000000003"/>
    <n v="-93.448713999999995"/>
    <s v="Government Financing"/>
    <s v="JCF"/>
    <n v="600000"/>
    <m/>
    <m/>
    <m/>
    <m/>
    <m/>
    <s v="Metro"/>
    <x v="1"/>
  </r>
  <r>
    <x v="4"/>
    <d v="2019-02-27T00:00:00"/>
    <x v="251"/>
    <s v="Ramsey"/>
    <s v="Anoka"/>
    <s v="MN"/>
    <s v="Vision Ease is a leading manufacturer of ophthalmic lenses through superior technological ingenuity. This project would bring a large Rx manufacturing site into the existing Vision Ease facility. The total project cost is expected to be $25 million. The company expects to create 200 new jobs within 3 years. JCF award $450,000"/>
    <s v="Headquarters; Manufacturing; Research &amp; Dev"/>
    <n v="25000000"/>
    <n v="200"/>
    <x v="0"/>
    <n v="70000"/>
    <x v="11"/>
    <x v="1"/>
    <s v="https://mn.gov/deed/newscenter/press-releases/?id=373430. Update 8/2019 https://blog.hoyavision.com/en-us/hoya-minute/ramsey-lab-opening"/>
    <s v="MN DEED"/>
    <s v="7000 Sunwood Dr NW"/>
    <n v="55303"/>
    <n v="45.231174000000003"/>
    <n v="-93.444169000000002"/>
    <s v="Government Financing"/>
    <s v="JCF"/>
    <n v="450000"/>
    <s v="y"/>
    <s v="HOYA"/>
    <s v="Tokyo"/>
    <m/>
    <s v="Japan"/>
    <s v="Metro"/>
    <x v="1"/>
  </r>
  <r>
    <x v="4"/>
    <d v="2019-02-27T00:00:00"/>
    <x v="252"/>
    <s v="Lakeville"/>
    <s v="Dakota"/>
    <s v="MN"/>
    <s v="QA1 Offers an extensive line of American made shock absorbers, driveshafts, and accessories. The company plans to expand its presence into Lakeville and create 30 jobs within three years. . FROM LAKEVILLE CITY COUNCIL: The company is looking to develop a new 100,000 square foot facility that would replace two adjacent buildings owned by QA1. The expansion would see a growth of 44 new positions in the next five years. DEED 2/2019: JCF $350,000, MIF $100,000. Also $526,015 TIF from Lakeville"/>
    <s v="Other"/>
    <n v="11459000"/>
    <n v="44"/>
    <x v="0"/>
    <n v="100000"/>
    <x v="27"/>
    <x v="1"/>
    <s v="http://la-img.ci.lakeville.mn.us/WebLink/DocView.aspx?dbid=0&amp;id=1566084&amp;page=1&amp;cr=1"/>
    <s v="MN DEED"/>
    <s v="21730 Hanover Ave"/>
    <n v="55044"/>
    <n v="44.635178000000003"/>
    <n v="-93.224500000000006"/>
    <s v="Government Financing"/>
    <s v="JCF, MIF, TIF"/>
    <n v="976015"/>
    <m/>
    <m/>
    <m/>
    <m/>
    <m/>
    <s v="Metro"/>
    <x v="1"/>
  </r>
  <r>
    <x v="4"/>
    <d v="2019-02-28T00:00:00"/>
    <x v="253"/>
    <s v="Roseville"/>
    <s v="Ramsey"/>
    <s v="MN"/>
    <s v="Lyft, the popular ride-hailing service, has opened a small office at 2120 Rice St. in St. Paul. Opening the facility is an initial step in San Francisco-based Lyft's entrance into the Twin Cities market. It plans to open a larger office in the Twin Cites later this year. The 1,500-square-foot driver support center will help expedite the on-boarding process for Lyft drivers and provide a space for troubleshooting and recruiting resources."/>
    <s v="Office (Non-HQ)"/>
    <m/>
    <m/>
    <x v="0"/>
    <n v="1500"/>
    <x v="16"/>
    <x v="9"/>
    <s v="https://www.bizjournals.com/twincities/news/2019/02/28/lyft-opens-first-physical-presence-in-twin-cities.html"/>
    <s v="MSP Business Journal"/>
    <s v="2120 Rice"/>
    <n v="55113"/>
    <n v="45.005122"/>
    <n v="-93.106099999999998"/>
    <m/>
    <m/>
    <m/>
    <m/>
    <m/>
    <s v="San Francisco"/>
    <s v="CA"/>
    <m/>
    <s v="Metro"/>
    <x v="1"/>
  </r>
  <r>
    <x v="4"/>
    <d v="2019-02-28T00:00:00"/>
    <x v="127"/>
    <s v="Minneapolis"/>
    <s v="Hennepin"/>
    <s v="MN"/>
    <s v="Coworking giant WeWork is opening a third Twin Cities location. WeWork has signed a lease for 73,000 square feet in The Nordic, a 10-story mixed-use tower United Properties is building at 729 Washington Ave. N. The New York-based company will have 4 floors (4th-7th). One floor has outdoor terrace space for WeWork members. When it opens in July and December, the North Loop location will bring WeWork's total Twin Cities north of 200,000 square feet. Other offices: Uptown, downtown Mpls"/>
    <s v="Office (Non-HQ)"/>
    <m/>
    <m/>
    <x v="0"/>
    <n v="73000"/>
    <x v="0"/>
    <x v="2"/>
    <s v="https://www.bizjournals.com/twincities/news/2019/02/28/wework-adding-yet-another-twin-cities-location.html"/>
    <s v="MSP Business Journal"/>
    <s v="729 N Washington Ave"/>
    <n v="55413"/>
    <n v="44.997838999999999"/>
    <n v="-93.257377000000005"/>
    <m/>
    <m/>
    <m/>
    <m/>
    <s v="WeWork"/>
    <s v="New York"/>
    <s v="NY"/>
    <m/>
    <s v="Metro"/>
    <x v="1"/>
  </r>
  <r>
    <x v="4"/>
    <d v="2019-03-06T00:00:00"/>
    <x v="254"/>
    <s v="Golden Valley"/>
    <s v="Hennepin"/>
    <s v="MN"/>
    <s v="The Star Tribune reports on plans by Tennant (NYSE: TNC) to buy a 40-acre office complex at 3 Capital Drive in Eden Prairie. It will move 500 people there next year from the company's current headquarters in Golden Valley, where it's been based since the 1950s. Tennant will be working with the Minneapolis office of Gensler on renovatng the new space. It is expected to be move-in ready in the first half of 2020. Will keep Golden Valley space for manufacturing &amp; engineering. 4/2019: bldg cost: $13m"/>
    <s v="Headquarters"/>
    <n v="13000000"/>
    <m/>
    <x v="0"/>
    <m/>
    <x v="4"/>
    <x v="1"/>
    <s v="https://www.bizjournals.com/twincities/news/2019/03/06/tennant-will-buy-40-acre-office-complex-will-move.html "/>
    <s v="MSP Business Journal"/>
    <s v="701 N Lilac Dr"/>
    <n v="55440"/>
    <n v="45.015914000000002"/>
    <n v="-93.471879999999999"/>
    <m/>
    <m/>
    <m/>
    <m/>
    <m/>
    <m/>
    <m/>
    <m/>
    <s v="Metro"/>
    <x v="1"/>
  </r>
  <r>
    <x v="4"/>
    <d v="2019-03-12T00:00:00"/>
    <x v="255"/>
    <s v="Morris"/>
    <s v="Stevens"/>
    <s v="MN"/>
    <s v="FRESHA LLC appears to have found a site near Morris for its proposed carrot-washing plant, at 23325 480th Ave., Morris. The processing warehouse would also including polishing, sorting, packaging, storing of locally-grown carrots. They would also like to construct a wastewater pond to collect and store the plant wash water and irrigate the surrounding farmland. The carrots would be shipped to buyers from that plant. Would create 6 full-time jobs at the start and 4 part-time jobs. Construction to begin this spring."/>
    <s v="Headquarters; Manufacturing"/>
    <m/>
    <n v="10"/>
    <x v="0"/>
    <m/>
    <x v="1"/>
    <x v="1"/>
    <s v="https://www.stevenscountytimes.com/news/government-and-politics/4583528-carrot-washing-plant-seeks-site-near-morris-zoning-hearings-set"/>
    <s v="Other"/>
    <m/>
    <n v="56267"/>
    <n v="45.595739000000002"/>
    <n v="-95.923232999999996"/>
    <m/>
    <m/>
    <m/>
    <m/>
    <m/>
    <m/>
    <m/>
    <m/>
    <s v="Central"/>
    <x v="1"/>
  </r>
  <r>
    <x v="4"/>
    <d v="2019-03-12T00:00:00"/>
    <x v="256"/>
    <s v="Minneapolis"/>
    <s v="Hennepin"/>
    <s v="MN"/>
    <s v="Dean Hager is CEO of Jamf, a role he's held for four years now. During that time, he's helped lead the maker of software that organizations use to manage Apple Inc. devices through its sale to Vista Equity Partners, two recent business acquisitions, and significant growth in revenue and headcount. &quot;We're going to hire this year alone over 150 people in America, and the bulk of that is in Minneapolis&quot;. Update 9/2019: &quot;The company currently has 30 open positions in Minneapolis on its website.&quot;"/>
    <s v="Headquarters"/>
    <m/>
    <n v="30"/>
    <x v="0"/>
    <m/>
    <x v="3"/>
    <x v="4"/>
    <s v="https://www.bizjournals.com/twincities/news/2019/03/19/after-sale-to-private-equity-jamf-has-kept-growth.html"/>
    <s v="MSP Business Journal"/>
    <s v="301 4th Ave S Ste 1075"/>
    <n v="55415"/>
    <n v="44.977995999999997"/>
    <n v="-93.263401999999999"/>
    <m/>
    <m/>
    <m/>
    <m/>
    <m/>
    <m/>
    <m/>
    <m/>
    <s v="Metro"/>
    <x v="1"/>
  </r>
  <r>
    <x v="4"/>
    <d v="2019-03-13T00:00:00"/>
    <x v="257"/>
    <s v="Plymouth"/>
    <s v="Hennepin"/>
    <s v="MN"/>
    <s v="Morey's Seafood International, a Golden Valley-based manufacturer of fish and seafood products, will move its regional distribution and corporate office into a larger, renovated facility in Plymouth. The 65,000-square-foot space is located at 2100 Xenium Avenue N., which Morey's bought in April 2018 for $3,250,000. Approximately 50 employees will move to the new Plymouth facility. Morey's has operated in a 20,000-square-foot corporate office, processing and distribution plant in Golden Valley since 1988."/>
    <s v="Headquarters; Manufacturing; Distribution Center"/>
    <m/>
    <m/>
    <x v="0"/>
    <n v="45000"/>
    <x v="1"/>
    <x v="1"/>
    <s v="https://www.bizjournals.com/twincities/news/2019/03/13/moreys-seafood-will-move-its-corporate-office-from.html"/>
    <s v="MSP Business Journal"/>
    <s v="2100 Xenium Ave N"/>
    <n v="55441"/>
    <n v="45.003210000000003"/>
    <n v="-93.450675000000004"/>
    <m/>
    <m/>
    <m/>
    <m/>
    <m/>
    <m/>
    <m/>
    <m/>
    <s v="Metro"/>
    <x v="1"/>
  </r>
  <r>
    <x v="4"/>
    <d v="2019-03-16T00:00:00"/>
    <x v="258"/>
    <s v="Osseo"/>
    <s v="Hennepin"/>
    <s v="MN"/>
    <s v="Dale Skoog, president and general manager of Osseo-based Die Technology Inc., said that Die Technology has 25 employees and expects to hire two to three this year. Update 12/2019 Named Small Manufacturer of the Year by Minneapolis St. Paul Business Journal - &quot;To foster that (growth), Skoog said it’s probable that a new facility will be constructed in the next couple years, but still with both companies together.&quot;"/>
    <s v="Headquarters; Manufacturing"/>
    <m/>
    <n v="3"/>
    <x v="0"/>
    <m/>
    <x v="4"/>
    <x v="1"/>
    <s v="http://www.startribune.com/osseo-tooling-manufacturer-die-technology-launches-precision-machining-company/507225412/"/>
    <s v="Star Tribune"/>
    <s v="8820 Jefferson Hwy"/>
    <n v="55369"/>
    <n v="45.115319"/>
    <n v="-93.402073999999999"/>
    <m/>
    <m/>
    <m/>
    <m/>
    <m/>
    <m/>
    <m/>
    <m/>
    <s v="Metro"/>
    <x v="1"/>
  </r>
  <r>
    <x v="4"/>
    <d v="2019-03-16T00:00:00"/>
    <x v="259"/>
    <s v="Osseo"/>
    <s v="Hennepin"/>
    <s v="MN"/>
    <s v="Nanotech Precision, incubated within Die Technology for the past few years, specializes in high-volume machining of complex small and micro-sized instruments, electrodes and components for the medical, electronic and aerospace industries. They are used in such products as minimally invasive catheters and heart rhythmic device components. The two firms separated at the start of 2019, company president and GM Dale Skoog said. Nanotech Precision has 20 employees and is looking to add five."/>
    <s v="Manufacturing"/>
    <m/>
    <n v="5"/>
    <x v="0"/>
    <m/>
    <x v="4"/>
    <x v="1"/>
    <s v="http://www.startribune.com/osseo-tooling-manufacturer-die-technology-launches-precision-machining-company/507225412/"/>
    <s v="Star Tribune"/>
    <s v="8820 Jefferson Hwy"/>
    <n v="55369"/>
    <n v="45.115319"/>
    <n v="-93.402073999999999"/>
    <m/>
    <m/>
    <m/>
    <m/>
    <s v="Die Technology"/>
    <s v="Osseo"/>
    <s v="MN"/>
    <m/>
    <s v="Metro"/>
    <x v="1"/>
  </r>
  <r>
    <x v="4"/>
    <d v="2019-03-18T00:00:00"/>
    <x v="260"/>
    <s v="Mankato"/>
    <s v="Blue Earth"/>
    <s v="MN"/>
    <s v="New to MN. A California-based bus operator plans to launch service in Mankato and Duluth this summer, offering rides for as little as $9 to Minneapolis-St. Paul International Airport, where it's partnering with a low-cost airline. The first trip to Minneapolis will be on June 4, with a daily schedule of four trips in each direction. A similar service will begin in Mankato, Minn., on June 6. Landline is leasing space from the airport that hadn't previously been used."/>
    <s v="Office (Non-HQ); Other"/>
    <m/>
    <m/>
    <x v="0"/>
    <m/>
    <x v="0"/>
    <x v="3"/>
    <s v="https://www.bizjournals.com/twincities/news/2019/03/18/bus-service-plans-9-routes-from-mankato-duluth-to.html"/>
    <s v="MSP Business Journal"/>
    <s v="3030 N Airport Rd"/>
    <n v="56001"/>
    <n v="44.128324999999997"/>
    <n v="-93.978863000000004"/>
    <m/>
    <m/>
    <m/>
    <m/>
    <s v="The Landline Company"/>
    <s v="Santa Monica"/>
    <s v="CA"/>
    <m/>
    <s v="South"/>
    <x v="1"/>
  </r>
  <r>
    <x v="4"/>
    <d v="2019-03-18T00:00:00"/>
    <x v="260"/>
    <s v="Duluth"/>
    <s v="St Louis"/>
    <s v="MN"/>
    <s v="New to MN. A California-based bus operator plans to launch service in Mankato and Duluth this summer, offering rides for as little as $9 to Minneapolis-St. Paul International Airport, where it's partnering with a low-cost airline. The first trip to Minneapolis will be on June 4, with a daily schedule of four trips in each direction. A similar service will begin in Mankato, Minn., on June 6. Landline is leasing space from the airport that hadn't previously been used."/>
    <s v="Other"/>
    <m/>
    <m/>
    <x v="0"/>
    <m/>
    <x v="0"/>
    <x v="3"/>
    <s v="https://www.bizjournals.com/twincities/news/2019/03/18/bus-service-plans-9-routes-from-mankato-duluth-to.html"/>
    <s v="MSP Business Journal"/>
    <m/>
    <n v="55811"/>
    <n v="46.814712"/>
    <n v="-92.199825000000004"/>
    <m/>
    <m/>
    <m/>
    <m/>
    <s v="The Landline Company"/>
    <s v="Santa Monica"/>
    <s v="CA"/>
    <m/>
    <s v="North"/>
    <x v="1"/>
  </r>
  <r>
    <x v="4"/>
    <d v="2019-03-23T00:00:00"/>
    <x v="30"/>
    <s v="Minneapolis"/>
    <s v="Hennepin"/>
    <s v="MN"/>
    <s v="Minneapolis-based retailer pushes toward its multiyear effort to overhaul more than 1,000 locations by the end of 2020. Out of about 300 stores slated for an end-to-end makeover in the year ahead, 14 of them are in Minnesota. The retailer will spend $50 million to redo nine in the Twin Cities. An average-size store costs about $5 million to update, while a SuperTarget costs about double."/>
    <s v="Headquarters"/>
    <n v="50000000"/>
    <m/>
    <x v="0"/>
    <m/>
    <x v="0"/>
    <x v="8"/>
    <s v="http://www.startribune.com/target-will-do-end-to-end-makeovers-of-14-minnesota-stores-in-2019/507546752/"/>
    <s v="Star Tribune"/>
    <s v="1000 Nicollet Mall"/>
    <n v="55403"/>
    <n v="44.973618999999999"/>
    <n v="-93.275666000000001"/>
    <m/>
    <m/>
    <m/>
    <m/>
    <m/>
    <m/>
    <m/>
    <m/>
    <s v="Metro"/>
    <x v="1"/>
  </r>
  <r>
    <x v="4"/>
    <d v="2019-03-25T00:00:00"/>
    <x v="261"/>
    <s v="Alexandria"/>
    <s v="Douglas"/>
    <s v="MN"/>
    <s v="Alexandria Industries is planning a $17.8 million expansion, of which $13 million will be in new equipment including a new aluminum extrusion press. Alexandria Industries plans to add 19,000 square feet to its building at 401 County Road 22 NW, known as Alexandria Extrusion Company. This will increase the size of the current 172,000-square-foot building by about 11 percent. It will include a warehouse, manufacturing space, office space and new equipment. DEED Job Creation Fund award $175,000"/>
    <s v="Headquarters; Manufacturing"/>
    <n v="17800000"/>
    <n v="14"/>
    <x v="0"/>
    <n v="19000"/>
    <x v="4"/>
    <x v="1"/>
    <s v="https://www.echopress.com/news/4589707-alexandria-industries-plans-18m-expansion"/>
    <s v="Echo Press, DEED"/>
    <s v="401 County Rd 22 NW"/>
    <n v="56308"/>
    <n v="45.897011999999997"/>
    <n v="-95.391520999999997"/>
    <s v="Government Financing"/>
    <s v="JCF"/>
    <n v="175000"/>
    <m/>
    <m/>
    <m/>
    <m/>
    <m/>
    <s v="Central"/>
    <x v="1"/>
  </r>
  <r>
    <x v="4"/>
    <d v="2019-03-25T00:00:00"/>
    <x v="262"/>
    <s v="Minneapolis"/>
    <s v="Hennepin"/>
    <s v="MN"/>
    <s v="Gensler's own cramped downtown offices consisted of mostly one room with views of an alley. In a few weeks when Gensler almost doubles its space with a move from its office in the Young-Quinlan Building to an almost 7,900-square-foot home on the top office floor of the Baker Center a couple blocks away. Gensler employees will move by the beginning of May with a grand opening planned for mid-July. The firm's move coincides with its plan to double its staff of 30 employees in the next five years."/>
    <s v="Headquarters"/>
    <m/>
    <n v="30"/>
    <x v="0"/>
    <n v="3900"/>
    <x v="0"/>
    <x v="11"/>
    <s v="http://www.startribune.com/design-firm-gensler-will-move-to-a-larger-minneapolis-office-in-baker-center/507641832/"/>
    <s v="Star Tribune"/>
    <s v="81 S 9th St Ste 200"/>
    <n v="55402"/>
    <n v="44.974505999999998"/>
    <n v="-93.273522999999997"/>
    <m/>
    <m/>
    <m/>
    <m/>
    <m/>
    <m/>
    <m/>
    <m/>
    <s v="Metro"/>
    <x v="1"/>
  </r>
  <r>
    <x v="4"/>
    <d v="2019-03-25T00:00:00"/>
    <x v="263"/>
    <s v="Two Harbors"/>
    <s v="Lake"/>
    <s v="MN"/>
    <s v="The Lake View Hospital and Lake View Clinic in Two Harbors share a name but have been two separate buildings for years. Now, An expansion will connect the hospital and medical clinic into one contiguous campus. _x000a__x000a_Estimated cost:  $15 million project. The two-floor new building/expansion will have one main entry for outpatient services, a 2,000 square-foot public meeting space, a lab and specialty clinic. Expected completion: fall of 2019. Lake View is a subsidiary of St. Luke's. Update 5/2019: Construction work begins on the two-story, 38,000-square foot building. "/>
    <s v="Healthcare Facility"/>
    <n v="15000000"/>
    <m/>
    <x v="0"/>
    <n v="38000"/>
    <x v="0"/>
    <x v="0"/>
    <s v="http://www.businessnorth.com/businessnorth_exclusives/lake-view-hospital-in-two-harbors-expanding/article_0ef9d73e-4f1b-11e9-b051-a34eb2d82456.html  "/>
    <s v="Other"/>
    <s v="325 11th Ave"/>
    <n v="55616"/>
    <n v="47.030327999999997"/>
    <n v="-91.666939999999997"/>
    <m/>
    <m/>
    <m/>
    <s v="St. Luke's Regional Health Care System"/>
    <s v="Duluth"/>
    <s v="MN"/>
    <m/>
    <m/>
    <s v="North"/>
    <x v="1"/>
  </r>
  <r>
    <x v="4"/>
    <d v="2019-03-26T00:00:00"/>
    <x v="264"/>
    <s v="Cottage Grove"/>
    <s v="Washington"/>
    <s v="MN"/>
    <s v="Airgas USA, a Philadelphia-based company, sells liquid oxygen, nitrogen and argon for use in manufacturing, medicine and other industries. The company is building a new $54 million plant in Cottage Grove. The plant will consist of two buildings of 17,000 square feet, an outdoor tank farm and a trucking terminal on 8.5 acres. Expected to open in 2020. Cottage Grove TIF $437K. DEED MIF $250K, $175K JCF"/>
    <s v="Manufacturing"/>
    <n v="54000000"/>
    <n v="35"/>
    <x v="0"/>
    <n v="17000"/>
    <x v="28"/>
    <x v="1"/>
    <s v="https://finance-commerce.com/2019/03/cottage-grove-to-get-54-million-airgas-plant/"/>
    <s v="Finance &amp; Commerce"/>
    <m/>
    <n v="55016"/>
    <n v="44.818216"/>
    <n v="-92.928610000000006"/>
    <s v="Government Financing"/>
    <s v="JCF, TIF, MIF"/>
    <n v="862000"/>
    <m/>
    <s v="Airgas USA"/>
    <s v="Radnor"/>
    <s v="PA"/>
    <m/>
    <s v="Metro"/>
    <x v="1"/>
  </r>
  <r>
    <x v="4"/>
    <d v="2019-03-27T00:00:00"/>
    <x v="265"/>
    <s v="Minneapolis"/>
    <s v="Hennepin"/>
    <s v="MN"/>
    <s v="Tom Goodmanson, the Minneapolis-based company's CEO, interview. Q: How has Calabrio fared since the sale to KKR? A: We're up about 125 percent in revenue since the acquisition. We're up to 425 people, with about 350 in Minneapolis. We've got another 70 slated for this office. . Q: Will growth continue to be focused in Minneapolis? A: From a headquarters perspective, yes, most of the growth will be in Minneapolis."/>
    <s v="Headquarters; Research &amp; Dev"/>
    <m/>
    <n v="70"/>
    <x v="0"/>
    <m/>
    <x v="3"/>
    <x v="4"/>
    <s v="https://www.bizjournals.com/twincities/news/2019/03/27/calabrio-ceo-growth-has-boomed-since-sale-to-kkr.html"/>
    <s v="MSP Business Journal"/>
    <s v="400 First Ave N"/>
    <n v="55401"/>
    <n v="44.981299"/>
    <n v="-93.273304999999993"/>
    <m/>
    <m/>
    <m/>
    <m/>
    <m/>
    <m/>
    <m/>
    <m/>
    <s v="Metro"/>
    <x v="1"/>
  </r>
  <r>
    <x v="4"/>
    <d v="2019-03-27T00:00:00"/>
    <x v="266"/>
    <s v="Minneapolis"/>
    <s v="Hennepin"/>
    <s v="MN"/>
    <s v="EnviroServe and Sunpro, are combining under the EnviroServe brand and adding three new regional offices in the areas of Detroit, MI; Columbus, OH; and Minneapolis-St. Paul, MN. EnviroServe provides comprehensive environmental and rail services to safely remediate and prevent environmental releases, manage waste, and respond to emergency and catastrophic events. The EnviroServe Detroit Regional Office is now operational, with the Columbus and Minneapolis-St. Paul locations opening in spring."/>
    <s v="Office (Non-HQ)"/>
    <m/>
    <m/>
    <x v="0"/>
    <m/>
    <x v="0"/>
    <x v="13"/>
    <s v="https://www.businesswire.com/news/home/20190327005719/en/EnviroServe-Sunpro-Combine-EnviroServe-Brand-Announce-New"/>
    <s v="Other"/>
    <m/>
    <n v="55402"/>
    <n v="44.975915000000001"/>
    <n v="-93.271825000000007"/>
    <m/>
    <m/>
    <m/>
    <m/>
    <s v="Enviroserve"/>
    <s v="Cleveland"/>
    <s v="OH"/>
    <m/>
    <s v="Metro"/>
    <x v="1"/>
  </r>
  <r>
    <x v="4"/>
    <d v="2019-03-29T00:00:00"/>
    <x v="267"/>
    <s v="Plymouth"/>
    <s v="Hennepin"/>
    <s v="MN"/>
    <s v="Daikin Applied, the air conditioning and heating systems maker is now planning to expand in its headquarters town of Plymouth. A subsidiary of Japanese parent company Daikin Industries Ltd., Daikin Applied is leasing new office space at the Atria building at 3033 Campus Drive. The new space means new jobs, though Daikin Applied did not yet disclose specifics of what positions and how many jobs will go into the space, nor did the company disclose the exact size of the office."/>
    <s v="Office (Non-HQ)"/>
    <m/>
    <m/>
    <x v="0"/>
    <m/>
    <x v="4"/>
    <x v="1"/>
    <s v="http://tcbmag.com/news/articles/2019/march/hvac-manufacturer-daikin-announces-second-expansion-in-six-months"/>
    <s v="Twin Cities Business"/>
    <s v="3033 Campus Dr"/>
    <n v="55441"/>
    <n v="45.015411999999998"/>
    <n v="-93.454604000000003"/>
    <m/>
    <m/>
    <m/>
    <s v="y"/>
    <s v="Daikin Industries"/>
    <s v="Osaka"/>
    <m/>
    <s v="Japan"/>
    <s v="Metro"/>
    <x v="1"/>
  </r>
  <r>
    <x v="4"/>
    <d v="2019-03-30T00:00:00"/>
    <x v="268"/>
    <s v="Eagan"/>
    <s v="Dakota"/>
    <s v="MN"/>
    <s v="Key leadership positions will move to Eagan from Enservio's Boston offices over the next nine to 12 months, Brian Filip said. Brian Filip, managing director of Enservio, is leading the expansion of its Twin Cities office to serve as a headquarters for the global provider of contents software and claims services solutions in the property and casualty insurance market. Q: What is driving the move to make Minneapolis Enservio's HQ' A:The impetus...is to start the cross-pollination of innovation"/>
    <s v="Headquarters"/>
    <m/>
    <m/>
    <x v="0"/>
    <m/>
    <x v="10"/>
    <x v="4"/>
    <s v="http://www.startribune.com/movers-amp-shakers-new-enservio-leader-plans-twin-cities-headquarters-for-insurance-software-firm/507860072/"/>
    <s v="Star Tribune"/>
    <m/>
    <n v="55123"/>
    <n v="44.804265999999998"/>
    <n v="-93.136812000000006"/>
    <m/>
    <m/>
    <m/>
    <m/>
    <s v="Solera Holdings Inc"/>
    <s v="Westlake"/>
    <s v="TX"/>
    <m/>
    <s v="Metro"/>
    <x v="1"/>
  </r>
  <r>
    <x v="5"/>
    <d v="2019-04-01T00:00:00"/>
    <x v="269"/>
    <s v="North Mankato"/>
    <s v="Nicollet"/>
    <s v="MN"/>
    <s v="Kato Engineering's parent company, Nidec Corp., has big ambitions for the next decade, and officials based in North Mankato foresee an expanding workforce as those ambitions are realized on a global and local level. The plant produces a broad range of motor-generator alternators for industries ranging from aviation and energy to defense and construction. The local plant has about 15 positions available ranging from entry-level manufacturing jobs to skill-specific jobs in professional occupation."/>
    <s v="Manufacturing"/>
    <m/>
    <n v="15"/>
    <x v="0"/>
    <m/>
    <x v="0"/>
    <x v="17"/>
    <s v="https://www.mankatofreepress.com/news/local_news/kato-engineering-predicts-rapid-growth-more-jobs/article_5c5932c8-4b28-11e9-9b26-ff9d74acd71b.html"/>
    <s v="Mankato Free Press"/>
    <s v="2075 Howard Dr"/>
    <n v="56003"/>
    <n v="44.191080999999997"/>
    <n v="-94.026843"/>
    <m/>
    <m/>
    <m/>
    <s v="Nidec"/>
    <s v="Kyoto"/>
    <s v="Kyoto"/>
    <s v="Japan"/>
    <m/>
    <s v="South"/>
    <x v="1"/>
  </r>
  <r>
    <x v="5"/>
    <d v="2019-04-02T00:00:00"/>
    <x v="270"/>
    <s v="St. Cloud"/>
    <s v="Sherburne"/>
    <s v="MN"/>
    <s v="Jay and Tina Mrozek are opening BlackLight Adventures next to Burlington Coat Factory. The attraction will include a 3,000-square-foot laser tag arena, two adventure rooms, an arcade and private party rooms. BlackLight Adventures, projected to open in June, is filling the roughly 10,000-square-foot former liquor store space on the north side of the building at 240-33rd Ave. S."/>
    <s v="Other"/>
    <m/>
    <m/>
    <x v="0"/>
    <n v="10000"/>
    <x v="0"/>
    <x v="12"/>
    <s v="https://www.sctimes.com/story/money/2019/04/02/st-cloud-business-family-entertainment-blacklight-adventures-open-june/3277442002/"/>
    <s v="St. Cloud Times"/>
    <s v="240 33rd Ave S"/>
    <n v="56301"/>
    <n v="45.548335999999999"/>
    <n v="-94.198069000000004"/>
    <m/>
    <m/>
    <m/>
    <m/>
    <m/>
    <m/>
    <m/>
    <m/>
    <s v="Central"/>
    <x v="1"/>
  </r>
  <r>
    <x v="5"/>
    <d v="2019-04-05T00:00:00"/>
    <x v="271"/>
    <s v="St. Cloud"/>
    <s v="Sherburne"/>
    <s v="MN"/>
    <s v="Cold Spring Brewing Company is adding 300,000-square-feet of leased space to their warehouse. The expansion will bring the total warehouse capacity to over one-million-square-feet. Cold Spring Brewing General Manager Scott Bender says they have entered a five-year lease agreement to rent the former Creative memories manufacturing space in St. Cloud. The expanded warehouse will create 100 new jobs. Last year, CSBC opened a 300,000-square-foot facility in Cold Spring and already outgrew the space"/>
    <s v="Headquarters; Manufacturing; Warehouse"/>
    <m/>
    <n v="100"/>
    <x v="0"/>
    <n v="300000"/>
    <x v="1"/>
    <x v="1"/>
    <s v="https://www.sctimes.com/story/money/2019/04/04/cold-spring-brewing-st-cloud-beer-expansion-jobs/3368412002/"/>
    <s v="St. Cloud Times"/>
    <s v="6401 8th Ave"/>
    <n v="56301"/>
    <n v="45.468041999999997"/>
    <n v="-94.127781999999996"/>
    <m/>
    <m/>
    <m/>
    <m/>
    <m/>
    <m/>
    <m/>
    <m/>
    <s v="Central"/>
    <x v="1"/>
  </r>
  <r>
    <x v="5"/>
    <d v="2019-04-08T00:00:00"/>
    <x v="272"/>
    <s v="Spring Valley"/>
    <s v="Fillmore"/>
    <s v="MN"/>
    <s v="Spring Valley was awarded $608,966 from DEED's BDPI (Business Development Public Infrastructure) program to add water, sewer, and streets necessary to enlarge their business park, where AMD Distribution plans to complete a $1.2 million expansion that will retain 29 employees and add eight new jobs."/>
    <s v="Headquarters; Distribution Center"/>
    <n v="1200000"/>
    <n v="8"/>
    <x v="7"/>
    <m/>
    <x v="0"/>
    <x v="10"/>
    <s v="https://mn.gov/deed/newscenter/press-releases/?id=379339#/detail/appId/1/id/378791"/>
    <s v="MN DEED"/>
    <s v="1021 Kasten Dr"/>
    <n v="55975"/>
    <n v="43.689711000000003"/>
    <n v="-92.334603000000001"/>
    <s v="Government Financing"/>
    <s v="BDPI"/>
    <n v="608966"/>
    <m/>
    <m/>
    <m/>
    <m/>
    <m/>
    <s v="South"/>
    <x v="1"/>
  </r>
  <r>
    <x v="5"/>
    <d v="2019-04-08T00:00:00"/>
    <x v="273"/>
    <s v="Spring Valley"/>
    <s v="Fillmore"/>
    <s v="MN"/>
    <s v="Spring Valley was awarded $608,966 from BDPI program to add water, sewer, and streets necessary to enlarge their business park, where Kapper's Fabricating is planning to complete a $950,000 expansion that will retain 37 employees and add 20 jobs."/>
    <s v="Headquarters; Manufacturing"/>
    <n v="950000"/>
    <n v="20"/>
    <x v="8"/>
    <m/>
    <x v="27"/>
    <x v="1"/>
    <s v="https://mn.gov/deed/newscenter/press-releases/'id=379339#/detail/appId/1/id/378791"/>
    <s v="MN DEED"/>
    <s v="1015 Industrial Dr"/>
    <n v="55975"/>
    <n v="43.699928"/>
    <n v="-92.401505999999998"/>
    <s v="Government Financing"/>
    <s v="BDPI"/>
    <n v="608966"/>
    <m/>
    <m/>
    <m/>
    <m/>
    <m/>
    <s v="South"/>
    <x v="1"/>
  </r>
  <r>
    <x v="5"/>
    <d v="2019-04-09T00:00:00"/>
    <x v="274"/>
    <s v="Minneapolis"/>
    <s v="Hennepin"/>
    <s v="MN"/>
    <s v="HistoSonics, a company developing ultrasound-powered technology to fight cancer, announced Monday that it had closed on a $54 million Series C round to prepare for commercialization of its medical device. The company's sole physical office is located in Ann Arbor, but CEO Blue is based in Minneapolis. HistoSonics will use some of the new funding to open an office in Minneapolis, where five to 10 employees will be based by the end of the year, a spokesman for the company said."/>
    <s v="Office (Non-HQ)"/>
    <m/>
    <n v="10"/>
    <x v="0"/>
    <m/>
    <x v="11"/>
    <x v="1"/>
    <s v="https://www.bizjournals.com/twincities/news/2019/04/09/cancer-killing-wave-company-histosonics-closes-on.html"/>
    <s v="MSP Business Journal"/>
    <m/>
    <n v="55402"/>
    <n v="44.975915000000001"/>
    <n v="-93.271825000000007"/>
    <s v="Venture Capital"/>
    <m/>
    <m/>
    <m/>
    <s v="HistoSonics"/>
    <s v="Ann Arbor"/>
    <s v="MI"/>
    <m/>
    <s v="Metro"/>
    <x v="1"/>
  </r>
  <r>
    <x v="5"/>
    <d v="2019-04-12T00:00:00"/>
    <x v="275"/>
    <s v="Plymouth"/>
    <s v="Hennepin"/>
    <s v="MN"/>
    <s v="Develops and produces small-, medium- and large-caliber ammunition, precision weapons and munitions, high-performance gun systems, and propellant and energetic materials. Alliant Techsystems Operation is proposing improvements to their existing 191,000 sf facility in Plymouth. The total project cost is $21 million, including expansion and renovations to an existing building. The company expects to create 65 jobs within 3 years paying an average of $40.06/hour. Awarded MIF $600K; JCF $700K."/>
    <s v="Office (Non-HQ); Manufacturing; Distribution Center"/>
    <n v="21000000"/>
    <n v="65"/>
    <x v="0"/>
    <m/>
    <x v="27"/>
    <x v="1"/>
    <s v="https://mn.gov/deed/ed/about-us/news-events/press-releases/ed-press-releases.jsp?id=1045-380038"/>
    <s v="MN DEED"/>
    <s v="4700 Nathan Lane N"/>
    <n v="55442"/>
    <n v="45.040920999999997"/>
    <n v="-93.405298000000002"/>
    <s v="Government Financing"/>
    <s v="MIF $600K, JCF $700K"/>
    <n v="1300000"/>
    <m/>
    <s v="Northrop Grumman"/>
    <s v="Falls Church"/>
    <s v="VA"/>
    <m/>
    <s v="Metro"/>
    <x v="1"/>
  </r>
  <r>
    <x v="5"/>
    <d v="2019-04-12T00:00:00"/>
    <x v="276"/>
    <s v="Coon Rapids"/>
    <s v="Anoka"/>
    <s v="MN"/>
    <s v="Steinwall, a plastic injection molding and manufacturing company in Coon Rapids, will spend $8.6 million for purchase &amp; improvemts of a building to move its Brooklyn Park operations closer to its headquarters. Steinwall bought a 145,775-square-foot multitenant office warehouse on 11.69 acres at 11225 Xeon St. NW in Coon Rapids, and sold its Brooklyn Park office/warehouse. Coon Rapids Housing and Redevelopment Authority (HRA) loan $200K for equipment and renovations"/>
    <s v="Headquarters; Manufacturing"/>
    <n v="8600000"/>
    <n v="10"/>
    <x v="0"/>
    <n v="80475"/>
    <x v="2"/>
    <x v="1"/>
    <s v="https://finance-commerce.com/2019/04/just-sold-steinwall-growth-draws-nystrom-to-brooklyn-park/"/>
    <s v="Finance &amp; Commerce"/>
    <s v="11225 Xeon St. NW"/>
    <n v="55448"/>
    <n v="45.17445"/>
    <n v="-93.295148999999995"/>
    <s v="Government Financing"/>
    <s v="Coon Rapids HRA loan"/>
    <s v="200000"/>
    <m/>
    <m/>
    <m/>
    <m/>
    <m/>
    <s v="Metro"/>
    <x v="1"/>
  </r>
  <r>
    <x v="5"/>
    <d v="2019-04-20T00:00:00"/>
    <x v="277"/>
    <s v="Minneapolis"/>
    <s v="Hennepin"/>
    <s v="MN"/>
    <s v="UnitedHealth Group's Rally Health division is trying to grow in the crowded digital health market while expanding its downtown Minneapolis workforce.  148 Rally employees in Minneapolis. Expect that number to increase as the company fills out its 40,000 square feet in the Millwright Building. Rally also has first leasing rights to the floor below. Based in Washington, D.C., Rally Health moved to the Twin Cities in 2018. UnitedHealth Group acquired a stake in the business that's become Rally Health in 2014."/>
    <s v="Office (Non-HQ)"/>
    <m/>
    <m/>
    <x v="0"/>
    <m/>
    <x v="0"/>
    <x v="0"/>
    <s v="http://www.startribune.com/unitedhealth-grows-digital-health-business-in-minneapolis/508838842/"/>
    <s v="Star Tribune, MSP Business Journal"/>
    <s v="533 S 3rd St Ste 400"/>
    <n v="55415"/>
    <n v="44.977282000000002"/>
    <n v="-93.261274"/>
    <m/>
    <m/>
    <m/>
    <m/>
    <m/>
    <s v="Washington"/>
    <s v="District of Columbia"/>
    <m/>
    <s v="Metro"/>
    <x v="1"/>
  </r>
  <r>
    <x v="5"/>
    <d v="2019-04-22T00:00:00"/>
    <x v="278"/>
    <s v="Hibbing"/>
    <s v="St Louis"/>
    <s v="MN"/>
    <s v="RMB Environmental Laboratories, Inc. is finalizing a deal that will allow the company to expand to Hibbing this year. RMB will move into roughly 17,000 square feet of the Vidovic building, located in the Hibbing Industrial Park. Major lab buildout will cost $1.2 million. Includes loan of $250,000 from HEDA (Hibbing EDA) and zero interest 20-year loan and leasing agreement from DIRR. RMB plans on hiring 20 people over the course of the next two years, with wages ranging from $30,000 to $50,000/yr plus benefits"/>
    <s v="Headquarters"/>
    <n v="1200000"/>
    <n v="20"/>
    <x v="0"/>
    <n v="17000"/>
    <x v="15"/>
    <x v="4"/>
    <s v="http://bit.ly/2vj9psu"/>
    <s v="Other"/>
    <s v="1111 7th Ave E"/>
    <n v="55746"/>
    <n v="47.438941999999997"/>
    <n v="-92.934849999999997"/>
    <s v="Government Financing"/>
    <s v="HEDA Loan"/>
    <s v="250000"/>
    <m/>
    <m/>
    <m/>
    <m/>
    <m/>
    <s v="North"/>
    <x v="1"/>
  </r>
  <r>
    <x v="5"/>
    <d v="2019-04-22T00:00:00"/>
    <x v="279"/>
    <s v="Minneapolis"/>
    <s v="Hennepin"/>
    <s v="MN"/>
    <s v="Minneapolis law firm Briggs and Morgan signed a new lease through 2034 for 93,000 square feet of space in the 1.24 million-square-foot IDS tower at 80 Eighth St. S. and started renovation work last summer. The firm, which employs 250 people , will renovate office on floors 22 through 25. Update 8/2019: Briggs and Morgan has agreed to merge with Taft Stettinius &amp; Hollister, continuing a shake up of the large law firms in the Twin Cities. The combined operation will take the Taft name."/>
    <s v="Headquarters"/>
    <m/>
    <m/>
    <x v="0"/>
    <m/>
    <x v="17"/>
    <x v="4"/>
    <s v="https://finance-commerce.com/2019/04/briggs-and-morgan-extend-life-of-ids-offices/"/>
    <s v="Finance &amp; Commerce"/>
    <s v="80 S 8th St Ste 2200"/>
    <n v="55402"/>
    <n v="44.975459999999998"/>
    <n v="-93.272667999999996"/>
    <m/>
    <m/>
    <m/>
    <m/>
    <m/>
    <m/>
    <m/>
    <m/>
    <s v="Metro"/>
    <x v="1"/>
  </r>
  <r>
    <x v="5"/>
    <d v="2019-04-23T00:00:00"/>
    <x v="280"/>
    <s v="Bloomington"/>
    <s v="Hennepin"/>
    <s v="MN"/>
    <s v="International shipping firm DHL has moved its service center facility into a more efficient $1.63 million facility at Minneapolis St. Paul Airport. DHL officials said the investment will help the firm address increasing e-commerce orders and improve customer service. The new 33,284 square-foot facility is at 1940 Cargo Rd. at the Minneapolis-St. Paul airport. DHL relocated 100 employees and 70 vehicles to the new site."/>
    <s v="Office (Non-HQ)"/>
    <n v="1630000"/>
    <m/>
    <x v="0"/>
    <m/>
    <x v="0"/>
    <x v="3"/>
    <s v="http://www.startribune.com/dhl-moves-to-1-6-million-digs-at-minneapolis-airport/508913532/"/>
    <s v="Star Tribune"/>
    <s v="1940 Cargo Rd"/>
    <n v="55450"/>
    <n v="44.876691999999998"/>
    <n v="-93.244967000000003"/>
    <m/>
    <m/>
    <m/>
    <s v="y"/>
    <s v="Deutsche Post DHL"/>
    <s v="Bonn"/>
    <m/>
    <s v="Germany"/>
    <s v="Metro"/>
    <x v="1"/>
  </r>
  <r>
    <x v="5"/>
    <d v="2019-04-24T00:00:00"/>
    <x v="281"/>
    <s v="Minneapolis"/>
    <s v="Hennepin"/>
    <s v="MN"/>
    <s v="Taoglas, a leading provider of IoT antenna and RF solutions, announced the opening of its new downtown Minneapolis facility to support the increasing demand for its products and services for development of Internet of Things (IoT) devices and solutions. New facility is on the 1st floor of The 15 Building, has a state-of-the-art antenna and RF test and design laboratory. Taoglas Minneapolis opened 6 yrs ago with a small facility. has 7 employees. Taoglas invested millions into the new lab."/>
    <s v="Office (Non-HQ)"/>
    <m/>
    <m/>
    <x v="0"/>
    <n v="5100"/>
    <x v="7"/>
    <x v="1"/>
    <s v="https://finance.yahoo.com/news/taoglas-opens-iot-design-support-120000974.html"/>
    <s v="Yahoo Finance"/>
    <s v="15 S 5th St Ste 150"/>
    <n v="55402"/>
    <n v="44.978945000000003"/>
    <n v="-93.271663000000004"/>
    <m/>
    <m/>
    <m/>
    <s v="y"/>
    <s v="Taoglas"/>
    <s v="Enniscorthy"/>
    <m/>
    <s v="Ireland"/>
    <s v="Metro"/>
    <x v="1"/>
  </r>
  <r>
    <x v="5"/>
    <d v="2019-04-25T00:00:00"/>
    <x v="282"/>
    <s v="Faribault"/>
    <s v="Rice"/>
    <s v="MN"/>
    <s v="Faribault City Council voted to approve several variances needed by Absolute Air LLC for a $32 million plant in Faribault. Absolute Air, a joint venture by five smaller gas and welding supply distributors working with the Independent Welding Distributors Cooperative, hopes to break ground in the next month. The project comes in response to a growing trend of consolidation in the liquid gas market. Location is just off Interstate 35 on the north side of town, and will hire about five employees"/>
    <s v="Manufacturing"/>
    <n v="32000000"/>
    <n v="5"/>
    <x v="0"/>
    <m/>
    <x v="28"/>
    <x v="1"/>
    <s v="https://finance-commerce.com/2019/04/two-more-air-separation-plans-in-works/"/>
    <s v="Finance &amp; Commerce"/>
    <m/>
    <n v="55021"/>
    <n v="44.362870000000001"/>
    <n v="-93.267455999999996"/>
    <m/>
    <m/>
    <m/>
    <m/>
    <s v="IWDC"/>
    <s v="Indianapolis"/>
    <s v="IN"/>
    <m/>
    <s v="South"/>
    <x v="1"/>
  </r>
  <r>
    <x v="5"/>
    <d v="2019-04-25T00:00:00"/>
    <x v="283"/>
    <s v="Minneapolis"/>
    <s v="Hennepin"/>
    <s v="MN"/>
    <s v="At Last! Gourmet Foods Inc., a Minneapolis-based soup manufacturer, won a bid to purchase the current home of the Metro Transit Police Department for $1.65 million, which includes a 13,500-square-foot building. It is adjacent to At Last's HQ. The new space will be used to expand At Last's capabilities to produce its fresh, made-from-scratch soups. Schreck believes the new location will house about 40 total employees - hiring 25 new mfg workers, and shifting 15 office workers to the new space."/>
    <s v="Other"/>
    <m/>
    <n v="25"/>
    <x v="0"/>
    <m/>
    <x v="1"/>
    <x v="1"/>
    <s v="https://www.bizjournals.com/twincities/news/2019/04/25/soup-maker-taking-over-south-minneapolis-transit.html"/>
    <s v="MSP Business Journal"/>
    <s v="2101 E 24th St"/>
    <n v="55404"/>
    <n v="44.958998000000001"/>
    <n v="-93.241935999999995"/>
    <m/>
    <m/>
    <m/>
    <m/>
    <m/>
    <m/>
    <m/>
    <m/>
    <s v="Metro"/>
    <x v="1"/>
  </r>
  <r>
    <x v="5"/>
    <d v="2019-04-25T00:00:00"/>
    <x v="284"/>
    <s v="Avon"/>
    <s v="Stearns"/>
    <s v="MN"/>
    <s v="Greater St Cloud Development Corp (SDC) is working with Blattner Energy and DEED in applying for the Job Creation Fund which would support an expansion at their current Headquarters in Avon. The expansion would be approximately 25,000-35,000 SF and support up to 15-25 new high paying jobs. Awarded $175,000 from JCF"/>
    <s v="Headquarters"/>
    <n v="14500000"/>
    <n v="15"/>
    <x v="0"/>
    <n v="35000"/>
    <x v="0"/>
    <x v="11"/>
    <s v="https://wjon.com/blattner-energy-expanding-avon-headquarters/"/>
    <s v="MN DEED"/>
    <s v="400 County Rd 50"/>
    <n v="56310"/>
    <n v="45.599386000000003"/>
    <n v="-94.436476999999996"/>
    <s v="Government Financing"/>
    <s v="JCF"/>
    <s v="175000"/>
    <m/>
    <m/>
    <m/>
    <m/>
    <m/>
    <s v="Central"/>
    <x v="1"/>
  </r>
  <r>
    <x v="5"/>
    <d v="2019-04-26T00:00:00"/>
    <x v="285"/>
    <s v="Minneapolis"/>
    <s v="Hennepin"/>
    <s v="MN"/>
    <s v="Venture-backed insurance startup Bright Health's record $200 million raise last November helped the Minneapolis company close out 2018 with triple the revenue it reported a year prior and expand into new markets.Bright Health CEO Bob Sheehy: &quot;We had, a couple years ago, about 30 or 40 people in the company. Now we have about 250, and we'll have 400 by the beginning of next year. About half of those people will be in the Twin Cities.&quot; Update 12/2019: Bright Health raised another $635 million to support expansion efforts."/>
    <s v="Office (Non-HQ)"/>
    <m/>
    <n v="75"/>
    <x v="0"/>
    <m/>
    <x v="0"/>
    <x v="6"/>
    <s v="https://www.bizjournals.com/twincities/news/2019/04/26/bright-health-on-track-for-big-growth-after-record.html"/>
    <s v="MSP Business Journal"/>
    <s v="219 N 2nd St Ste 401"/>
    <n v="55401"/>
    <n v="44.984810000000003"/>
    <n v="-93.270264999999995"/>
    <s v="Venture Capital"/>
    <m/>
    <m/>
    <m/>
    <m/>
    <m/>
    <m/>
    <m/>
    <s v="Metro"/>
    <x v="1"/>
  </r>
  <r>
    <x v="5"/>
    <d v="2019-04-30T00:00:00"/>
    <x v="286"/>
    <s v="Stacy"/>
    <s v="Chisago"/>
    <s v="MN"/>
    <s v="Fox Valley Metrology is planning to expand their existing building by 7,290 sq. Ft and is looking at purchasing the lot to the south of their existing building for this expansion. Plans also include expanding fiber to the Stacy Ponds Business Park. Fox Valley is seeking tax abatement from City of Stacy (motion passed), modifications to existing building and associated site improvements. May 2019: Job Creation Award $180K"/>
    <s v="Headquarters"/>
    <n v="1993119"/>
    <n v="17"/>
    <x v="0"/>
    <n v="7290"/>
    <x v="15"/>
    <x v="4"/>
    <s v="https://www.stacymn.org/index.asp?SEC=DA2F1F22-E77C-4940-B763-61522F8EB5DD&amp;Type=B_BASIC"/>
    <s v="MN DEED"/>
    <s v="30447 Stacy Ponds Dr"/>
    <n v="55079"/>
    <n v="45.388632999999999"/>
    <n v="-92.980306999999996"/>
    <s v="Government Financing"/>
    <s v="JCF"/>
    <n v="180000"/>
    <m/>
    <m/>
    <m/>
    <m/>
    <m/>
    <s v="Central"/>
    <x v="1"/>
  </r>
  <r>
    <x v="5"/>
    <d v="2019-05-01T00:00:00"/>
    <x v="287"/>
    <s v="Coon Rapids"/>
    <s v="Anoka"/>
    <s v="MN"/>
    <s v="Metro Self Storage, based in Lake Forest, Illinois, plans to build a 138,000-square-foot self-storage facility at 3021 124th Ave., a 2.73-acre vacant lot in the southwest quadrant of Highway 10 and Main Street. The three-story building will contain 1,084 indoor units. The project was submitted in February and went before the city Planning Commission in April. The company currently runs seven self-storage locations around the Twin Cities, including Blaine and Maple Grove in the north metro."/>
    <s v="Other"/>
    <m/>
    <m/>
    <x v="0"/>
    <n v="138000"/>
    <x v="0"/>
    <x v="2"/>
    <s v="https://finance-commerce.com/2019/05/self-storage-warehouse-planned-in-coon-rapids/"/>
    <s v="Finance &amp; Commerce"/>
    <s v="3021 124th Ave"/>
    <n v="55433"/>
    <n v="45.196756999999998"/>
    <n v="-93.343712999999994"/>
    <m/>
    <m/>
    <m/>
    <m/>
    <s v="Metro Self Storage"/>
    <s v="Lake Forest"/>
    <s v="IL"/>
    <m/>
    <s v="Metro"/>
    <x v="1"/>
  </r>
  <r>
    <x v="5"/>
    <d v="2019-05-02T00:00:00"/>
    <x v="288"/>
    <s v="St Paul"/>
    <s v="Ramsey"/>
    <s v="MN"/>
    <s v="Downtown St. Paul is the fastest-growing office for Denver-based Granicus, the growing provider of digital-communication services to local, state and national government agencies, according to CEO Mark Hynes. Hynes said the consolidated revenue of Granicus will top $100 million this year, compared to $40 million in 2016. Employment has grown from 100 to 130 in St. Paul, and the office has 10 job openings"/>
    <s v="Office (Non-HQ)"/>
    <m/>
    <n v="10"/>
    <x v="0"/>
    <m/>
    <x v="16"/>
    <x v="9"/>
    <s v="http://www.startribune.com/granicus-grows-in-st-paul/509390712/"/>
    <s v="Star Tribune"/>
    <s v="408 St Peter St Ste 600"/>
    <n v="55102"/>
    <n v="44.946480000000001"/>
    <n v="-93.096622999999994"/>
    <m/>
    <m/>
    <m/>
    <m/>
    <s v="Vista Equity Partners"/>
    <s v="Austin"/>
    <s v="TX"/>
    <m/>
    <s v="Metro"/>
    <x v="1"/>
  </r>
  <r>
    <x v="5"/>
    <d v="2019-05-05T00:00:00"/>
    <x v="289"/>
    <s v="Fairmont"/>
    <s v="Martin"/>
    <s v="MN"/>
    <s v="Zierke Built Manufacturing plans to expand its services. These require the use of a brake press and a laser cutter, which is what the requested funds will be used for. Zierke Built Manufacturing has hired about 50 people in Fairmont. Awarded $300K From MIF, via Fairmont EDA. Expanding its operations with the new equipment will allow the business to hire an extra 20 people over three years."/>
    <s v="Headquarters; Office (Non-HQ); Manufacturing"/>
    <n v="2521944"/>
    <n v="20"/>
    <x v="0"/>
    <m/>
    <x v="27"/>
    <x v="1"/>
    <s v="https://www.shop.minutemanpress.com/news/midwest/minnesota/fairmont/zierke-built-manufacturing-expands-into-fairmont-142147.html"/>
    <s v="Other"/>
    <s v="1500 Winnebago Ave"/>
    <n v="56031"/>
    <n v="43.666660999999998"/>
    <n v="-94.451969000000005"/>
    <s v="Government Financing"/>
    <s v="MIF"/>
    <n v="300000"/>
    <m/>
    <m/>
    <m/>
    <m/>
    <m/>
    <s v="South"/>
    <x v="1"/>
  </r>
  <r>
    <x v="5"/>
    <d v="2019-05-06T00:00:00"/>
    <x v="290"/>
    <s v="Minnetonka"/>
    <s v="Hennepin"/>
    <s v="MN"/>
    <s v="When Minnetonka-based Media Minefield signed a seven-year lease for its offices at 10590 Wayzata Blvd., CEO Kristi Piehl thought it would take at least that long for the young public relations company to fill 7,000 square feet of space. Three years later, the company has 27 employees and is spilling into the building's plaza for lack of room. The company is expanding into an additional 3,500 square feet adjacent to its current office."/>
    <s v="Headquarters"/>
    <m/>
    <m/>
    <x v="0"/>
    <n v="3500"/>
    <x v="21"/>
    <x v="4"/>
    <s v="https://finance-commerce.com/2019/05/media-minefield-expands-in-minnetonka/"/>
    <s v="Finance &amp; Commerce"/>
    <s v="10590 Wayzata Blvd"/>
    <n v="55305"/>
    <n v="44.974438999999997"/>
    <n v="-93.415177999999997"/>
    <m/>
    <m/>
    <m/>
    <m/>
    <m/>
    <m/>
    <m/>
    <m/>
    <s v="Metro"/>
    <x v="1"/>
  </r>
  <r>
    <x v="5"/>
    <d v="2019-05-07T00:00:00"/>
    <x v="60"/>
    <s v="Maple Grove"/>
    <s v="Hennepin"/>
    <s v="MN"/>
    <s v="Amazon.com has quietly been building a 67,000-square-foot last-mile delivery station in Maple Grove as the company looks to speed up its shipping times. the Seattle-based e-commerce giant has signed a lease for Duke Realty's under-construction Park 81 North building at 10655 Country Road 81. Amazon will take the entire building. The project's cost, according to a building permit, is $4.9 million. It's expected to be complete in the third quarter of this year. Estimated 45 jobs based on parking'"/>
    <s v="Warehouse; Distribution Center"/>
    <n v="4900000"/>
    <n v="45"/>
    <x v="0"/>
    <n v="67000"/>
    <x v="0"/>
    <x v="8"/>
    <s v="https://www.bizjournals.com/twincities/news/2019/05/07/amazon-building-last-mile-facility-in-maple-grove.html."/>
    <s v="MSP Business Journal"/>
    <s v="10655 Country Road 81"/>
    <n v="55369"/>
    <n v="45.119976000000001"/>
    <n v="-93.416737999999995"/>
    <m/>
    <m/>
    <m/>
    <m/>
    <s v="Amazon"/>
    <s v="Seattle"/>
    <s v="WA"/>
    <m/>
    <s v="Metro"/>
    <x v="1"/>
  </r>
  <r>
    <x v="5"/>
    <d v="2019-05-07T00:00:00"/>
    <x v="291"/>
    <s v="Minneapolis"/>
    <s v="Hennepin"/>
    <s v="MN"/>
    <s v="Hennepin Healthcare will open a perinatal mental health facility with $10 million gift, targeting anxiety, depression among new mothers. The undertreated problem of depression among new mothers is getting intensified focus at a new center that will offer treatment and therapy; child care for parents during appointments; classroom space; and even a kitchen for cooking classes. Hennepin Healthcare will break ground on a new building in downtown Minneapolis this fall - expected completion in 2020."/>
    <s v="Headquarters"/>
    <m/>
    <m/>
    <x v="0"/>
    <m/>
    <x v="0"/>
    <x v="0"/>
    <s v="http://www.startribune.com/innovative-minneapolis-medical-center-will-target-the-depression-anxiety-of-new-moms/509593022/?refresh=true"/>
    <s v="Star Tribune"/>
    <s v="901 S 6th St"/>
    <n v="55415"/>
    <n v="44.972529000000002"/>
    <n v="-93.259131999999994"/>
    <m/>
    <m/>
    <m/>
    <m/>
    <m/>
    <m/>
    <m/>
    <m/>
    <s v="Metro"/>
    <x v="1"/>
  </r>
  <r>
    <x v="5"/>
    <d v="2019-05-07T00:00:00"/>
    <x v="292"/>
    <s v="Cloquet"/>
    <s v="Carlton"/>
    <s v="MN"/>
    <s v="Sappi North America announced Tuesday it had completed a $25 million investment in the Cloquet mill. &quot;We are pleased that this investment brings an additional 30,000 tons per year of pulp production capability to better serve our dissolving wood pulp customers,&quot; Mike Schultz, managing director of the Sappi Cloquet Mill. Dissolving wood pulp is used as a textile and has pharmaceutical and food applications; South Africa-based Sappi touts the product as a sustainable alternative to other fibers."/>
    <s v="Manufacturing"/>
    <n v="25000000"/>
    <m/>
    <x v="0"/>
    <m/>
    <x v="13"/>
    <x v="1"/>
    <s v="https://www.duluthnewstribune.com/business/4609457-25-million-investment-cloquet-sappi-mill"/>
    <s v="Duluth News Tribune"/>
    <s v="2201 Ave B"/>
    <n v="55720"/>
    <n v="46.724170000000001"/>
    <n v="-92.463890000000006"/>
    <m/>
    <m/>
    <m/>
    <s v="y"/>
    <s v="Sappi Limited"/>
    <s v="Johannesburg"/>
    <m/>
    <s v="South Africa"/>
    <s v="North"/>
    <x v="1"/>
  </r>
  <r>
    <x v="5"/>
    <d v="2019-05-07T00:00:00"/>
    <x v="293"/>
    <s v="Rochester"/>
    <s v="Olmsted"/>
    <s v="MN"/>
    <s v="Sierra Pacific Mortgage Company, Inc., is excited to announce the company's expansion into Minnesota including three new locations in Blaine, Woodbury, and Rochester. Under the direction of Regional Manager, Mike Cass, these three new locations boast ten mortgage professionals who are ready to help Minnesotans across the state achieve the dream of homeownership."/>
    <s v="Office (Non-HQ)"/>
    <m/>
    <n v="3"/>
    <x v="0"/>
    <m/>
    <x v="0"/>
    <x v="6"/>
    <s v="https://finance.yahoo.com/news/sierra-pacific-mortgage-expands-minnesota-090000033.html"/>
    <s v="Yahoo Finance"/>
    <m/>
    <n v="55901"/>
    <n v="44.075285000000001"/>
    <n v="-92.516915999999995"/>
    <m/>
    <m/>
    <m/>
    <m/>
    <s v="Sierra Pacific Mortgage"/>
    <s v="Folsom"/>
    <s v="CA"/>
    <m/>
    <s v="South"/>
    <x v="1"/>
  </r>
  <r>
    <x v="5"/>
    <d v="2019-05-07T00:00:00"/>
    <x v="293"/>
    <s v="Woodbury"/>
    <s v="Washington"/>
    <s v="MN"/>
    <s v="Sierra Pacific Mortgage Company, Inc., is excited to announce the company's expansion into Minnesota including three new locations in Blaine, Woodbury, and Rochester. Under the direction of Regional Manager, Mike Cass, these three new locations boast ten mortgage professionals who are ready to help Minnesotans across the state achieve the dream of homeownership."/>
    <s v="Office (Non-HQ)"/>
    <m/>
    <n v="3"/>
    <x v="0"/>
    <m/>
    <x v="0"/>
    <x v="6"/>
    <s v="https://finance.yahoo.com/news/sierra-pacific-mortgage-expands-minnesota-090000033.html"/>
    <s v="Yahoo Finance"/>
    <m/>
    <n v="55125"/>
    <n v="44.923855000000003"/>
    <n v="-92.959379999999996"/>
    <m/>
    <m/>
    <m/>
    <m/>
    <s v="Sierra Pacific Mortgage"/>
    <s v="Folsom"/>
    <s v="CA"/>
    <m/>
    <s v="Metro"/>
    <x v="1"/>
  </r>
  <r>
    <x v="5"/>
    <d v="2019-05-07T00:00:00"/>
    <x v="293"/>
    <s v="Blaine"/>
    <s v="Hennepin"/>
    <s v="MN"/>
    <s v="Sierra Pacific Mortgage Company, Inc., is excited to announce the company's expansion into Minnesota including three new locations in Blaine, Woodbury, and Rochester. Under the direction of Regional Manager, Mike Cass, these three new locations boast ten mortgage professionals who are ready to help Minnesotans across the state achieve the dream of homeownership."/>
    <s v="Office (Non-HQ)"/>
    <m/>
    <n v="3"/>
    <x v="0"/>
    <m/>
    <x v="0"/>
    <x v="6"/>
    <s v="https://finance.yahoo.com/news/sierra-pacific-mortgage-expands-minnesota-090000033.html"/>
    <s v="Yahoo Finance"/>
    <m/>
    <n v="55434"/>
    <n v="45.168340000000001"/>
    <n v="-93.250337000000002"/>
    <m/>
    <m/>
    <m/>
    <m/>
    <s v="Sierra Pacific Mortgage"/>
    <s v="Folsom"/>
    <s v="CA"/>
    <m/>
    <s v="Metro"/>
    <x v="1"/>
  </r>
  <r>
    <x v="5"/>
    <d v="2019-05-08T00:00:00"/>
    <x v="294"/>
    <s v="Fridley"/>
    <s v="Anoka"/>
    <s v="MN"/>
    <s v="Certified Power Inc's Project HG is relocating CPI's headquarters from Mundelein, Illinois, as well as combining CPI's existing facilities in Burnsville and Brooklyn Park, into a single location at the Stacks II in Fridley.  CPI signed a lease for 55,000 square feet in Northern Stacks II on a seven-year term. While none of CPI's existing 72 Minnesota jobs are considered 'at risk' as a result of this relocation, the project would create at least 36 new jobs in the first 4 years and invest $2.25 million in MN. Award $100K MIF"/>
    <s v="Headquarters; Office (Non-HQ); Manufacturing"/>
    <n v="2250000"/>
    <n v="36"/>
    <x v="0"/>
    <n v="55000"/>
    <x v="4"/>
    <x v="1"/>
    <s v="https://springbrooknaturecenter.org/AgendaCenter/ViewFile/Agenda/_05132019-311 "/>
    <s v="Other"/>
    <s v="12117 Riverwood Dr"/>
    <n v="55337"/>
    <n v="45.057780999999999"/>
    <n v="-93.260249999999999"/>
    <s v="Government Financing"/>
    <s v="MIF"/>
    <n v="100000"/>
    <m/>
    <m/>
    <s v="Mundelein"/>
    <s v="IL"/>
    <m/>
    <s v="Metro"/>
    <x v="1"/>
  </r>
  <r>
    <x v="5"/>
    <d v="2019-05-08T00:00:00"/>
    <x v="295"/>
    <s v="International Falls"/>
    <s v="Koochiching"/>
    <s v="MN"/>
    <s v="Granite Digital Realty has been working for nearly a decade on plans to build a world-class data center in International Falls. That vision is now within reach, thanks to improved local technology infrastructure and the new opportunity zone federal tax incentive. Mershon's group plans to build a $150 million, 20-megawatt data center in two phases at 409 14th St. W., a former Army Reserve Center owned by Koochiching County. Granite Digital hopes to break ground by end 2019. Would employ 35 FT."/>
    <s v="Headquarters"/>
    <n v="150000000"/>
    <n v="35"/>
    <x v="0"/>
    <n v="112000"/>
    <x v="29"/>
    <x v="9"/>
    <s v="https://finance-commerce.com/2019/05/icy-city-could-be-data-center-hot-spot/ "/>
    <s v="Finance &amp; Commerce"/>
    <s v="409 14th St"/>
    <n v="56649"/>
    <n v="48.591676999999997"/>
    <n v="-93.406261999999998"/>
    <m/>
    <m/>
    <m/>
    <m/>
    <m/>
    <m/>
    <m/>
    <m/>
    <s v="North"/>
    <x v="1"/>
  </r>
  <r>
    <x v="5"/>
    <d v="2019-05-09T00:00:00"/>
    <x v="296"/>
    <s v="Minneapolis"/>
    <s v="Hennepin"/>
    <s v="MN"/>
    <s v="A New York financial-technology startup is planning to open a Minneapolis office with 100 employees sometime this summer. Founded in 2015, DailyPay Inc. gives users instant access to earned wages and the option for pay advances, on which the company charges a transaction fee. It has raised about $23 million in venture capital. The 100 employees will support the company's payment-services and customer-support teams."/>
    <s v="Office (Non-HQ)"/>
    <m/>
    <n v="100"/>
    <x v="0"/>
    <m/>
    <x v="3"/>
    <x v="4"/>
    <s v="https://www.bizjournals.com/twincities/news/2019/05/09/new-york-fin-techstartup-to-open-minneapolis.html"/>
    <s v="MSP Business Journal"/>
    <m/>
    <n v="55402"/>
    <n v="44.975915000000001"/>
    <n v="-93.271825000000007"/>
    <m/>
    <m/>
    <m/>
    <m/>
    <s v="DailyPay"/>
    <s v="New York"/>
    <s v="NY"/>
    <m/>
    <s v="Metro"/>
    <x v="1"/>
  </r>
  <r>
    <x v="5"/>
    <d v="2019-05-13T00:00:00"/>
    <x v="297"/>
    <s v="St Paul"/>
    <s v="Ramsey"/>
    <s v="MN"/>
    <s v="St. Paul-based All Energy Solar, the designer and installer of solar-power systems for homes and businesses in six states, has moved to a larger 30,000 square foot location in St. Paul's Energy Park industrial-commercial area that is three times its previous space a couple miles away. The 135-employee firm has added 20 workers this year, with plans for up to 20 more. Allen said he expects to install systems on 1,000 buildings this year, up from 700 last year."/>
    <s v="Headquarters"/>
    <m/>
    <n v="40"/>
    <x v="0"/>
    <m/>
    <x v="0"/>
    <x v="11"/>
    <s v="http://www.startribune.com/all-energy-solar-expands-in-st-paul/509876052/"/>
    <s v="Star Tribune"/>
    <s v="1264 Energy Lane"/>
    <n v="55108"/>
    <n v="44.969437999999997"/>
    <n v="-93.152994000000007"/>
    <m/>
    <m/>
    <m/>
    <m/>
    <m/>
    <m/>
    <m/>
    <m/>
    <s v="Metro"/>
    <x v="1"/>
  </r>
  <r>
    <x v="5"/>
    <d v="2019-05-13T00:00:00"/>
    <x v="298"/>
    <s v="Maple Grove"/>
    <s v="Hennepin"/>
    <s v="MN"/>
    <s v="Generic drugmaker Upsher-Smith plans Maple Grove expansion. The company wants to add a four-level, 298,000-square-foot building just east of its main office, which is off Interstate 494 at 6701 Evenstad Drive. Maple Grove planning manager Peter Vickerman said Upsher-Smith would like to break ground in the third quarter. The city was not aware of how many additional jobs the expansion might bring."/>
    <s v="Headquarters"/>
    <m/>
    <m/>
    <x v="0"/>
    <n v="298000"/>
    <x v="28"/>
    <x v="1"/>
    <s v="https://www.bizjournals.com/twincities/news/2019/05/13/generic-drugmaker-upsher-smith-plans-maple-grove.html"/>
    <s v="MSP Business Journal"/>
    <s v="6701 Evenstad Dr"/>
    <n v="55369"/>
    <n v="45.075549000000002"/>
    <n v="-93.443552999999994"/>
    <m/>
    <m/>
    <m/>
    <s v="y"/>
    <s v="Sawai Pharmaceutical Co"/>
    <m/>
    <m/>
    <s v="Japan"/>
    <s v="Metro"/>
    <x v="1"/>
  </r>
  <r>
    <x v="5"/>
    <d v="2019-05-14T00:00:00"/>
    <x v="122"/>
    <s v="Minneapolis"/>
    <s v="Hennepin"/>
    <s v="MN"/>
    <s v="Technology startup ClickSwitch Holdings Inc. has closed on a $13 million financing round, the Minneapolis company said Monday. The company will use the latest funding to ramp up hiring and to support operations with new financial partners. Currently it has 45 employees and plans to grow to 60 employees by the end of the year and hire a chief operating officer and chief revenue officer. 9/2019: Moved its downtown Minneapolis headquarters  to 701 North Washington Avenue."/>
    <s v="Headquarters"/>
    <m/>
    <n v="15"/>
    <x v="0"/>
    <m/>
    <x v="3"/>
    <x v="4"/>
    <s v="https://www.bizjournals.com/twincities/news/2019/05/14/minneapolis-fin-tech-firm-clickswitch-snaps-up-13m.html"/>
    <s v="MSP Business Journal"/>
    <s v="244 N 1st Ave North Ste 100"/>
    <n v="55401"/>
    <n v="44.982649000000002"/>
    <n v="-93.271232999999995"/>
    <s v="Venture Capital"/>
    <m/>
    <m/>
    <m/>
    <m/>
    <m/>
    <m/>
    <m/>
    <s v="Metro"/>
    <x v="1"/>
  </r>
  <r>
    <x v="5"/>
    <d v="2019-05-15T00:00:00"/>
    <x v="299"/>
    <s v="Mora"/>
    <s v="Kanabec"/>
    <s v="MN"/>
    <s v="MinMor Industries is a printing and packaging manufacturer and distributer that has been in operation for 30 years. The project consists of renovations to the existing facility. The total project cost is $579,000. The company expects to create 45 jobs within three years with an average wage of $15.09 an hour. Job Creation Fund Award: $175K"/>
    <s v="Headquarters"/>
    <n v="579000"/>
    <n v="45"/>
    <x v="0"/>
    <m/>
    <x v="13"/>
    <x v="1"/>
    <s v="https://mn.gov/deed/newscenter/press-releases/?id=384613"/>
    <s v="MN DEED"/>
    <s v="6010 Earle Brown Dr"/>
    <n v="55430"/>
    <n v="45.063989999999997"/>
    <n v="-93.302239"/>
    <s v="Government Financing"/>
    <s v="JCF"/>
    <n v="175000"/>
    <m/>
    <m/>
    <m/>
    <m/>
    <m/>
    <s v="Central"/>
    <x v="1"/>
  </r>
  <r>
    <x v="5"/>
    <d v="2019-05-15T00:00:00"/>
    <x v="300"/>
    <s v="Garfield"/>
    <s v="Douglas"/>
    <s v="MN"/>
    <s v="Reprocessed Plastics has been recycling waste into industrial products since 1991. The project will add a 13,000 square foot addition to allow for growth. The total project cost is expected to be $638,441. The company expects to create 20 jobs within the next three years. Job Creation Fund Award $175K"/>
    <s v="Headquarters; Office (Non-HQ); Manufacturing"/>
    <n v="638441"/>
    <n v="20"/>
    <x v="0"/>
    <n v="13000"/>
    <x v="2"/>
    <x v="1"/>
    <s v="https://mn.gov/deed/newscenter/press-releases/?id=384613"/>
    <s v="MN DEED"/>
    <s v="8301 County Hwy 82"/>
    <n v="56332"/>
    <n v="45.984672000000003"/>
    <n v="-95.506621999999993"/>
    <s v="Government Financing"/>
    <s v="JCF"/>
    <n v="175000"/>
    <m/>
    <m/>
    <m/>
    <m/>
    <m/>
    <s v="Central"/>
    <x v="1"/>
  </r>
  <r>
    <x v="5"/>
    <d v="2019-05-17T00:00:00"/>
    <x v="301"/>
    <s v="Golden Valley"/>
    <s v="Hennepin"/>
    <s v="MN"/>
    <s v="Lindsey Harlan, vice president of Lockton in Golden Valley discussed the company's recent growth in the Twin Cities, its plans for future expansion in the area and the challenges of competing for talent in such a hot market for insurance firms. Between the two offices, we've doubled our number of employees since 2015. Just last year we added 20 new associates, and we're scheduled to grow another 20 over the next year."/>
    <s v="Office (Non-HQ)"/>
    <m/>
    <n v="20"/>
    <x v="0"/>
    <m/>
    <x v="36"/>
    <x v="6"/>
    <s v="https://www.bizjournals.com/twincities/news/2019/05/17/insurance-brokerage-eyes-growth-in-twin-cities.html"/>
    <s v="MSP Business Journal"/>
    <s v="5500 Wayzata Blvd Ste 510"/>
    <n v="55416"/>
    <n v="44.971362999999997"/>
    <n v="-93.350110000000001"/>
    <m/>
    <m/>
    <m/>
    <m/>
    <s v="Lockton Companies"/>
    <s v="Kansas City"/>
    <s v="MO"/>
    <m/>
    <s v="Metro"/>
    <x v="1"/>
  </r>
  <r>
    <x v="5"/>
    <d v="2019-05-17T00:00:00"/>
    <x v="302"/>
    <s v="Plymouth"/>
    <s v="Hennepin"/>
    <s v="MN"/>
    <s v="Toledo, Ohio-based  VentureMed Group Inc., a company that develops medical devices to treat vascular problems, will move its offices to Plymouth, Minn., this year.  The company in 2017 raised a $15 million Series B round. It's in the process of raising its next financing round to fund business expansion. VentureMed's 6,000-square-foot Plymouth office will be located at 2800 Campus Drive and have 20 to 25 employees. Expects to complete its relocation over the next three months."/>
    <s v="Headquarters"/>
    <m/>
    <n v="25"/>
    <x v="0"/>
    <n v="6000"/>
    <x v="11"/>
    <x v="1"/>
    <s v="https://www.bizjournals.com/twincities/news/2019/05/17/ohio-med-tech-startup-led-by-former-nxthera-ceo-to.html"/>
    <s v="MSP Business Journal"/>
    <s v="2800 Campus Drive"/>
    <n v="55441"/>
    <n v="45.012022999999999"/>
    <n v="-93.452494999999999"/>
    <m/>
    <m/>
    <m/>
    <m/>
    <m/>
    <m/>
    <m/>
    <m/>
    <s v="Metro"/>
    <x v="1"/>
  </r>
  <r>
    <x v="5"/>
    <d v="2019-05-20T00:00:00"/>
    <x v="116"/>
    <s v="Bloomington"/>
    <s v="Hennepin"/>
    <s v="MN"/>
    <s v="Donaldson, the filtration systems manufacturer today announced the groundbreaking on a $15 million research center at its global headquarters in Bloomington. The 17,000-square foot Materials Research Center is scheduled to open in 2019. In a statement Donaldson (NYSE: DSCI) positioned the expansion as a way to 'attract the technical talent' required to develop innovative filtration technologies and bring them to market. The company plans to add six researchers &amp; engineers to the 1,100+ staff"/>
    <s v="Headquarters; Manufacturing"/>
    <n v="15000000"/>
    <n v="6"/>
    <x v="0"/>
    <n v="17132"/>
    <x v="4"/>
    <x v="1"/>
    <s v="https://www.bizjournals.com/twincities/news/2019/05/20/donaldson-building-15-million-research-center-in.html"/>
    <s v="MSP Business Journal"/>
    <s v="1400 W 94th St"/>
    <n v="55431"/>
    <n v="44.833675999999997"/>
    <n v="-93.296312999999998"/>
    <m/>
    <m/>
    <m/>
    <m/>
    <m/>
    <m/>
    <m/>
    <m/>
    <s v="Metro"/>
    <x v="1"/>
  </r>
  <r>
    <x v="5"/>
    <d v="2019-05-20T00:00:00"/>
    <x v="79"/>
    <s v="Lakeville"/>
    <s v="Dakota"/>
    <s v="MN"/>
    <s v="Park Nicollet Health Services has broken ground on a 28,000-square-foot clinic in Lakeville that will provide more health care services than its current facility in the Twin Cities suburb. The $13.5 million project is going up at 18484 Kachina Court. The new clinic will offer additional urgent care, OB-GYN and eye care services as well as extended morning, evening and weekend hours. The new clinic will be more than five times larger than its current facility. Will add 30 new employees."/>
    <s v="Healthcare Facility"/>
    <n v="13500000"/>
    <n v="30"/>
    <x v="0"/>
    <n v="23000"/>
    <x v="0"/>
    <x v="0"/>
    <s v="https://www.bizjournals.com/twincities/news/2019/05/20/park-nicollet-begins-construction-of-13-5-million.html"/>
    <s v="MSP Business Journal"/>
    <s v="18432 Kendrick Ave"/>
    <n v="55044"/>
    <n v="44.633420999999998"/>
    <n v="-93.258120000000005"/>
    <m/>
    <m/>
    <m/>
    <m/>
    <s v="Park Nicollet Health Services"/>
    <s v="St Louis Park"/>
    <s v="MN"/>
    <m/>
    <s v="Metro"/>
    <x v="1"/>
  </r>
  <r>
    <x v="5"/>
    <d v="2019-05-20T00:00:00"/>
    <x v="303"/>
    <s v="Willmar"/>
    <s v="Kandiyohi"/>
    <s v="MN"/>
    <s v="Construction is complete on a 59,800-square-foot dealership for Ziegler Cat’s agriculture and construction equipment. The new building replaces a rented sales and parts facility in Willmar. The larger space will provide CAT the square footage to expand its equipment sales, rental and repair services. The two-story service facility features a retail showroom, a 25,000-square-foot shop, warehouse and offices, and a 7,800-square-foot cold storage building."/>
    <s v="WH, OF, RET"/>
    <m/>
    <m/>
    <x v="0"/>
    <n v="59800"/>
    <x v="4"/>
    <x v="1"/>
    <s v="https://www.wctrib.com/business/announcements/6566017-Ziegler-Cats-new-dealership-building-now-complete-in-Willmar"/>
    <s v="West Central Tribune"/>
    <s v="4600 Hwy 71 S"/>
    <n v="56201"/>
    <n v="45.078798999999997"/>
    <n v="-95.043525000000002"/>
    <m/>
    <m/>
    <m/>
    <m/>
    <m/>
    <m/>
    <m/>
    <m/>
    <s v="Central"/>
    <x v="1"/>
  </r>
  <r>
    <x v="5"/>
    <d v="2019-05-28T00:00:00"/>
    <x v="304"/>
    <s v="Chanhassen"/>
    <s v="Carver"/>
    <s v="MN"/>
    <s v="A Chanhassen manufacturer hopes to break ground this year in the last open lot in the city's Arboretum Business Park. Control Concepts employs about 40 people at its current HQ at 18760 Lake Drive E. The new building, proposed at 8077 Century Blvd., would be large enough in theory for up to 100 workers, president and owner Cory Watkins said. Building would be 54,200+ square feet, with office, manufacturing and warehouse space. Hope to break ground in August 2019, relocate in spring 2020."/>
    <s v="Headquarters; Manufacturing"/>
    <m/>
    <m/>
    <x v="0"/>
    <n v="54200"/>
    <x v="23"/>
    <x v="1"/>
    <s v="https://finance-commerce.com/2019/05/control-concepts-plans-to-expand-in-chanhassen"/>
    <s v="Finance &amp; Commerce"/>
    <s v="18760 Lake Dr E"/>
    <n v="55317"/>
    <n v="44.860959999999999"/>
    <n v="-93.514347000000001"/>
    <m/>
    <m/>
    <m/>
    <m/>
    <m/>
    <m/>
    <m/>
    <m/>
    <s v="Metro"/>
    <x v="1"/>
  </r>
  <r>
    <x v="5"/>
    <d v="2019-05-30T00:00:00"/>
    <x v="305"/>
    <s v="Cottage Grove"/>
    <s v="Washington"/>
    <s v="MN"/>
    <s v="Window manufacturer Andersen Corp. plans to double the size of Renewal by Andersen manufacturing facility in Cottage Grove, with room left over for future expansion. The Cottage Grove Planning Commission on Wednesday recommended approval of the company's plans for a new 350,000-square-foot warehouse, manufacturing and office building in the Glengrove Industrial Park. Andersen is planning to bring 125 new jobs to the area with the expansion. Received JCF $800K, MIF $450K"/>
    <s v="Office (Non-HQ); Manufacturing; Warehouse"/>
    <n v="35000000"/>
    <n v="125"/>
    <x v="0"/>
    <n v="350000"/>
    <x v="6"/>
    <x v="1"/>
    <s v="https://www.bizjournals.com/twincities/news/2019/05/30/andersen-corp-plans-to-double-its-footprint-in.html"/>
    <s v="MSP Business Journal"/>
    <m/>
    <n v="55016"/>
    <n v="44.818216"/>
    <n v="-92.928610000000006"/>
    <s v="Government Financing"/>
    <s v="JCF, MIF"/>
    <n v="1250000"/>
    <m/>
    <s v="Andersen Corp"/>
    <s v="Bayport"/>
    <s v="MN"/>
    <m/>
    <s v="Metro"/>
    <x v="1"/>
  </r>
  <r>
    <x v="5"/>
    <d v="2019-05-31T00:00:00"/>
    <x v="306"/>
    <s v="Fridley"/>
    <s v="Anoka"/>
    <s v="MN"/>
    <s v="Medical device maker Heraeus Medical Components will move into the Northern Stacks seven building, 122-acre business park at 4800 E. River Road in Fridley in the fall. Germany-based Heraeus signed a 10-year lease for 62,000 square feet of space in the Northern Stacks V. Heraeus, which already has a Minnesota location in White Bear Lake, will use its space at Northern Stacks as a research and development facility, Hyde said. The company will move in Oct. 1."/>
    <s v="Manufacturing; Research &amp; Dev"/>
    <m/>
    <m/>
    <x v="0"/>
    <n v="62000"/>
    <x v="11"/>
    <x v="1"/>
    <s v="https://finance-commerce.com/2019/05/northern-stacks-fills-its-biggest-vacancies/"/>
    <s v="Finance &amp; Commerce"/>
    <s v="4800 E River Road"/>
    <n v="55421"/>
    <n v="45.057780999999999"/>
    <n v="-93.276634000000001"/>
    <m/>
    <m/>
    <m/>
    <s v="y"/>
    <s v="Heraeus Medical Components"/>
    <s v="Hanau"/>
    <s v="Hessen"/>
    <s v="Germany"/>
    <s v="Metro"/>
    <x v="1"/>
  </r>
  <r>
    <x v="5"/>
    <d v="2019-06-04T00:00:00"/>
    <x v="307"/>
    <s v="East Grand Forks"/>
    <s v="Polk"/>
    <s v="MN"/>
    <s v="Delisle Properties, property owner, is seeking a loan to facilitate the expansion of Mayo Manufacturing, a primary business that manufactures potato processing equipment. Mayo, is seeking to expand its existing business by adding 8,400 square feet of industrial space at a cost of approximately $650,000 to meet growing demand. The expansion will add five employees making $17-30 per hour as starting wages. Applying for $150K from DEED's MIF and $150K revolving loan from East Grand Forks."/>
    <s v="Manufacturing"/>
    <n v="650000"/>
    <n v="5"/>
    <x v="0"/>
    <n v="8400"/>
    <x v="0"/>
    <x v="1"/>
    <s v="http://www.egf.mn/ArchiveCenter/ViewFile/Item/4798"/>
    <s v="Other"/>
    <s v="Business Hwy 2"/>
    <n v="56721"/>
    <n v="47.936717999999999"/>
    <n v="-97.016401999999999"/>
    <s v="Government Financing"/>
    <s v="MIF, Local loan"/>
    <n v="300000"/>
    <m/>
    <s v="Harriston Industries"/>
    <s v="Minto"/>
    <s v="ND"/>
    <m/>
    <s v="North"/>
    <x v="1"/>
  </r>
  <r>
    <x v="5"/>
    <d v="2019-06-05T00:00:00"/>
    <x v="129"/>
    <s v="Minneapolis"/>
    <s v="Hennepin"/>
    <s v="MN"/>
    <s v="Minneapolis-based Agosto Holdings, a cloud-services and development company, has secured $6.5 million in capital from California-based Bridge Bank and SG Credit Partners. The capital will allow Agosto to advance its strategy within the Google system, add personnel to sales and marketing, and promote Skykit ' the first digital signage content-management system built on the Google Cloud Platform. Agosto, with 63 employees, said it is one of the largest Google-cloud partners globally."/>
    <s v="Headquarters"/>
    <m/>
    <m/>
    <x v="0"/>
    <m/>
    <x v="3"/>
    <x v="4"/>
    <s v="http://www.startribune.com/agosto-raises-expansion-capital/510665152/"/>
    <s v="Star Tribune"/>
    <s v="420 5th St N Ste 400"/>
    <n v="55401"/>
    <n v="44.983595999999999"/>
    <n v="-93.277499000000006"/>
    <s v="Venture Capital"/>
    <m/>
    <m/>
    <m/>
    <m/>
    <m/>
    <m/>
    <m/>
    <s v="Metro"/>
    <x v="1"/>
  </r>
  <r>
    <x v="5"/>
    <d v="2019-06-06T00:00:00"/>
    <x v="308"/>
    <s v="Minnetonka"/>
    <s v="Hennepin"/>
    <s v="MN"/>
    <s v="UnitedHealth Group's Optum health services division is getting a new HQ that merges three businesses under a single roof to better coordinate business operations and improve marketing."/>
    <s v="Headquarters"/>
    <n v="44000000"/>
    <m/>
    <x v="0"/>
    <m/>
    <x v="0"/>
    <x v="0"/>
    <s v="http://www.startribune.com/optum-finds-a-big-new-home-in-eden-prairie/123142228/"/>
    <m/>
    <s v="9900 Bren Rd E"/>
    <n v="55343"/>
    <n v="44.896845999999996"/>
    <n v="-93.402431000000007"/>
    <m/>
    <m/>
    <m/>
    <m/>
    <m/>
    <m/>
    <m/>
    <m/>
    <s v="Metro"/>
    <x v="1"/>
  </r>
  <r>
    <x v="5"/>
    <d v="2019-06-06T00:00:00"/>
    <x v="309"/>
    <s v="Minneapolis"/>
    <s v="Hennepin"/>
    <s v="MN"/>
    <s v="Philadelphia-based Saul Ewing opened its Minneapolis office in February and started fast, hiring a team of lawyers away from Gray Plant Mooty along with clients that included the Minnesota Vikings. The newcomers are often expanding from big East and West Coast cities where demand for legal-services is saturated and new expansion cities offer less competition."/>
    <s v="Office (Non-HQ)"/>
    <m/>
    <m/>
    <x v="0"/>
    <m/>
    <x v="17"/>
    <x v="4"/>
    <s v="https://www.bizjournals.com/twincities/news/2019/06/06/out-of-state-law-firms-move-in-and-grab-more-than.html"/>
    <s v="MSP Business Journal"/>
    <s v="33 South Sixth St Ste 4750"/>
    <n v="55433"/>
    <n v="45.189349999999997"/>
    <n v="-93.365716000000006"/>
    <m/>
    <m/>
    <m/>
    <m/>
    <s v="Saul Ewing Arnstein &amp; Lehr"/>
    <s v="Philadelphia"/>
    <s v="PA"/>
    <m/>
    <s v="Metro"/>
    <x v="1"/>
  </r>
  <r>
    <x v="5"/>
    <d v="2019-06-11T00:00:00"/>
    <x v="86"/>
    <s v="Stewartville"/>
    <s v="Olmsted"/>
    <s v="MN"/>
    <s v="Geotek Inc., which designs, manufactures and sells fiberglass components for the electric utility and animal containment markets, is planning for the next phase of its expansion and renovation of its facility. Currently underway, the first phase of expansion will add 10,000 SF. The next phase will add another 65,000 SF. City is offering TIF, tied to 18 new jobs. Geotek is adding 12 jobs not connected to TIF. Received $150K from MIF in July."/>
    <s v="Headquarters; Manufacturing"/>
    <n v="5900000"/>
    <n v="30"/>
    <x v="0"/>
    <n v="75000"/>
    <x v="2"/>
    <x v="1"/>
    <s v="https://www.postbulletin.com/news/business/geotek-stewartville-get-ball-rolling-on-major-expansion/article_f8676392-8b83-11e9-b165-efc0d2c828a8.html"/>
    <s v="Rochester Post-Bulletin"/>
    <s v="1421 2nd Ave NW"/>
    <n v="55976"/>
    <n v="43.866067999999999"/>
    <n v="-92.490588000000002"/>
    <s v="Government Financing"/>
    <s v="MIF, TIF"/>
    <n v="150000"/>
    <m/>
    <m/>
    <m/>
    <m/>
    <m/>
    <s v="South"/>
    <x v="1"/>
  </r>
  <r>
    <x v="5"/>
    <d v="2019-06-17T00:00:00"/>
    <x v="310"/>
    <s v="Woodbury"/>
    <s v="Washington"/>
    <s v="MN"/>
    <s v="Midwest Ear, Nose and Throat Specialists plan to anchor a new medical-office building being pitched by Davis in Woodbury, Davis CEO Mark Davis told the Business Journal Monday. Midwest ENT, which currently leases space northeast of Lake Road and west of Woodwinds Drive in Woodbury, would lease the entire 14,000-square-foot building Davis is pitching as the third phase of its CityPlace development."/>
    <s v="Healthcare Facility"/>
    <m/>
    <m/>
    <x v="0"/>
    <n v="14000"/>
    <x v="0"/>
    <x v="0"/>
    <s v="https://www.bizjournals.com/twincities/news/2019/06/17/shriners-midwest-ent-plot-new-medical-centers-in.html"/>
    <s v="MSP Business Journal"/>
    <m/>
    <n v="55125"/>
    <n v="44.923855000000003"/>
    <n v="-92.959379999999996"/>
    <m/>
    <m/>
    <m/>
    <m/>
    <s v="Midwest Ear Nose &amp; Throat"/>
    <s v="Eagan"/>
    <s v="MN"/>
    <m/>
    <s v="Metro"/>
    <x v="1"/>
  </r>
  <r>
    <x v="5"/>
    <d v="2019-06-17T00:00:00"/>
    <x v="311"/>
    <s v="Woodbury"/>
    <s v="Washington"/>
    <s v="MN"/>
    <s v="Shriners Healthcare for Children-Twin Cities plans to anchor a new medical-office building being pitched by Davis in Woodbury, Davis CEO Mark Davis told the Business Journal Monday. Shriners Healthcare for Children-Twin Cities would lease 20,000 square feet of a proposed 42,000-square-foot building south of Interstate 94 and east of Radio Drive."/>
    <s v="Healthcare Facility"/>
    <m/>
    <m/>
    <x v="0"/>
    <n v="20000"/>
    <x v="0"/>
    <x v="0"/>
    <s v="https://www.bizjournals.com/twincities/news/2019/06/17/shriners-midwest-ent-plot-new-medical-centers-in.html"/>
    <s v="MSP Business Journal"/>
    <m/>
    <n v="55125"/>
    <n v="44.923855000000003"/>
    <n v="-92.959379999999996"/>
    <m/>
    <m/>
    <m/>
    <m/>
    <s v="Shriners Hospitals"/>
    <s v="Minneapolis"/>
    <s v="MN"/>
    <m/>
    <s v="Metro"/>
    <x v="1"/>
  </r>
  <r>
    <x v="5"/>
    <d v="2019-06-19T00:00:00"/>
    <x v="312"/>
    <s v="Eden Prairie"/>
    <s v="Hennepin"/>
    <s v="MN"/>
    <s v="California-based technology firm Arctic Wolf has quadrupled its office space in Eden Prairie. Arctic Wolf houses its sales, marketing and customer success operations in Eden Prairie. The company, which offers IT security services, had been renting a 5,250-square-foot office space in the suburb. Last week, the firm moved into a new 21,800-square-foot space. The new location will enable the company to house up to 200 employees; the old spot had room for just 55."/>
    <s v="Office (Non-HQ)"/>
    <m/>
    <m/>
    <x v="0"/>
    <n v="16550"/>
    <x v="3"/>
    <x v="4"/>
    <s v="http://tcbmag.com/news/articles/2019/june/california-based-arctic-wolf-quadruples-eden-prair"/>
    <s v="Twin Cities Business"/>
    <s v="8939 Columbine Road"/>
    <n v="55347"/>
    <n v="44.841734000000002"/>
    <n v="-93.441980999999998"/>
    <m/>
    <m/>
    <m/>
    <m/>
    <s v="Arctic Wolf Networks"/>
    <s v="Sunnyvale"/>
    <s v="CA"/>
    <m/>
    <s v="Metro"/>
    <x v="1"/>
  </r>
  <r>
    <x v="5"/>
    <d v="2019-06-19T00:00:00"/>
    <x v="313"/>
    <s v="Minneapolis"/>
    <s v="Hennepin"/>
    <s v="MN"/>
    <s v="Bangalore, India-based Wipro has opened a new office at the edge of downtown Minneapolis that the tech consultancy said would grow to 100 employees over the next two years. The Minneapolis office will serve as a technology hub for the company. It decided to open the office because of the city's &quot;conducive business environment, excellent infrastructure and ready talent pool.&quot;"/>
    <s v="Office (Non-HQ)"/>
    <m/>
    <n v="100"/>
    <x v="0"/>
    <m/>
    <x v="10"/>
    <x v="4"/>
    <s v="https://www.bizjournals.com/twincities/news/2019/06/19/tech-consultancy-wipro-to-hire-100-at-new.html"/>
    <s v="MSP Business Journal"/>
    <s v="111 Washington Ave S"/>
    <n v="55401"/>
    <n v="44.980474999999998"/>
    <n v="-93.266840999999999"/>
    <m/>
    <m/>
    <m/>
    <s v="y"/>
    <s v="Wipro Limited"/>
    <s v="Bangalore"/>
    <s v="KA"/>
    <s v="India"/>
    <s v="Metro"/>
    <x v="1"/>
  </r>
  <r>
    <x v="5"/>
    <d v="2019-06-25T00:00:00"/>
    <x v="314"/>
    <s v="Sartell"/>
    <s v="Benton"/>
    <s v="MN"/>
    <s v="Toppan Merrill plans to grow in Central Minnesota with a 70,000-square-foot expansion (13,500 SF office space and 56,375 SF warehouse &amp; prodn space) to its current 100,000 SF Sartell facility. Sartell City Council approved a business subsidy to assist the company in its expansion at 300-11th Ave. E. The company sold its St. Cloud facility after struggling with building layout and size. All employees from the St. Cloud facility at 4110 Clearwater Road will relocate to the Sartell."/>
    <s v="Office (Non-HQ); Manufacturing; Distribution Center"/>
    <n v="10000000"/>
    <n v="40"/>
    <x v="0"/>
    <n v="69875"/>
    <x v="13"/>
    <x v="1"/>
    <s v="https://www.sctimes.com/story/news/2019/06/25/toppan-merrill-expands-sartell-expected-new-jobs-complete-2020/1558535001/"/>
    <s v="St. Cloud Times"/>
    <s v="300 11th Ave E"/>
    <n v="56377"/>
    <n v="45.615122"/>
    <n v="-94.185562000000004"/>
    <s v="Government Financing"/>
    <s v="MIF $320K, JCF $350K"/>
    <n v="670000"/>
    <s v="y"/>
    <s v="Toppan Leefung"/>
    <s v="Tokyo"/>
    <m/>
    <s v="Japan"/>
    <s v="Central"/>
    <x v="1"/>
  </r>
  <r>
    <x v="6"/>
    <d v="2019-07-02T00:00:00"/>
    <x v="315"/>
    <s v="Eden Prairie"/>
    <s v="Hennepin"/>
    <s v="MN"/>
    <s v="Miromatrix Medical Inc.'s two FDA-approved products (Miroderm and Miromesh), which help manage wounds and reinforce soft tissue, will be managed and sold by a new spin-off company called Reprise Biomedical Inc. Miromatrix owns a significant stake in Reprise. Reprise has 13 employees, seven of whom are transplants from Miromatrix. Powers expects to have 15 to 20 employees by the end of the year."/>
    <s v="Headquarters"/>
    <m/>
    <n v="7"/>
    <x v="0"/>
    <m/>
    <x v="11"/>
    <x v="1"/>
    <s v="https://www.bizjournals.com/twincities/news/2019/07/02/new-miromatrix-spinoff-raises-12-5-million-to-ramp.html"/>
    <s v="MSP Business Journal"/>
    <m/>
    <n v="55344"/>
    <n v="44.850563000000001"/>
    <n v="-93.440428999999995"/>
    <m/>
    <m/>
    <m/>
    <m/>
    <s v="Miromatrix Medical Inc"/>
    <s v="Eden Prairie"/>
    <s v="MN"/>
    <m/>
    <s v="Metro"/>
    <x v="1"/>
  </r>
  <r>
    <x v="6"/>
    <d v="2019-07-06T00:00:00"/>
    <x v="316"/>
    <s v="Minneapolis"/>
    <s v="Hennepin"/>
    <s v="MN"/>
    <s v="The Minneapolis shop started this May, a month after starting a sister studio in Denver. The 2,000-square-foot Soona location in northeast Minneapolis can be staged to look like a living room, a kitchen or any other space. A year ago, the women began to brainstorm ways to make photo and video production as easy as visiting a printing office to make copies. Technology at Soona allows them to shoot, edit and deliver content to clients. Raised $1.2 million in seed funding."/>
    <s v="Headquarters"/>
    <m/>
    <m/>
    <x v="0"/>
    <n v="2000"/>
    <x v="37"/>
    <x v="9"/>
    <s v="http://www.startribune.com/minneapolis-based-soona-creates-digital-content-asap/512191362/"/>
    <s v="Star Tribune"/>
    <m/>
    <n v="55401"/>
    <n v="44.984577000000002"/>
    <n v="-93.269097000000002"/>
    <s v="Venture Capital"/>
    <m/>
    <m/>
    <m/>
    <m/>
    <m/>
    <m/>
    <m/>
    <s v="Metro"/>
    <x v="1"/>
  </r>
  <r>
    <x v="6"/>
    <d v="2019-07-08T00:00:00"/>
    <x v="317"/>
    <s v="Coon Rapids"/>
    <s v="Anoka"/>
    <s v="MN"/>
    <s v="RMS plans to break ground as soon this fall on an addition to its manufacturing plant in the Minneapolis suburb, its fifth major expansion there in the past two decades. The company previously expanded at the site in 2016, 2011, 2006 and 1998. RMS currently employs 711 people in Coon Rapids and is the city's biggest private-sector employer. The project would add 60,000 square feet of space to its existing 215,000-square-foot building. Awarded $800,000 JCF from DEED."/>
    <s v="Manufacturing"/>
    <n v="58820000"/>
    <n v="80"/>
    <x v="0"/>
    <n v="60000"/>
    <x v="11"/>
    <x v="1"/>
    <s v="https://finance-commerce.com/2019/07/coon-rapids-manufacturer-to-expand-again"/>
    <s v="Finance &amp; Commerce"/>
    <s v="8600 Evergreen Blvd"/>
    <n v="55433"/>
    <n v="45.126458999999997"/>
    <n v="-93.275627"/>
    <s v="Government Financing"/>
    <s v="JCF"/>
    <n v="800000"/>
    <m/>
    <s v="Cretex Companies Inc"/>
    <s v="Elk River"/>
    <s v="MN"/>
    <m/>
    <s v="Metro"/>
    <x v="1"/>
  </r>
  <r>
    <x v="6"/>
    <d v="2019-07-11T00:00:00"/>
    <x v="318"/>
    <s v="Olivia"/>
    <s v="Renville"/>
    <s v="MN"/>
    <s v="Beck's is pleased to announce the purchase of a facility in Olivia, Minn., for the use of distribution and research. The 44,000 square-foot facility will provide corn breeding and research, sales support, and warehousing. The team in Olivia consists of five full-time employees with plans to add 2 more team members in 2021, and up to 30 part-time employees for seasonal research activities.Beck's has a unique partnership with RAGT, a French seed company."/>
    <s v="Research &amp; Dev; Warehouse; Distribution Center"/>
    <m/>
    <n v="32"/>
    <x v="0"/>
    <n v="44000"/>
    <x v="0"/>
    <x v="14"/>
    <s v="https://finance.yahoo.com/news/beck-establishes-roots-minnesota-expanded-154247539.html"/>
    <s v="Yahoo Finance"/>
    <s v="1005 West Elm Ave"/>
    <n v="56277"/>
    <n v="44.778229000000003"/>
    <n v="-94.992125000000001"/>
    <m/>
    <m/>
    <m/>
    <s v="y"/>
    <s v="Beck's Hybrids"/>
    <s v="Atlanta"/>
    <s v="IN"/>
    <m/>
    <s v="Central"/>
    <x v="1"/>
  </r>
  <r>
    <x v="6"/>
    <d v="2019-07-11T00:00:00"/>
    <x v="319"/>
    <s v="Owatonna"/>
    <s v="Steele"/>
    <s v="MN"/>
    <s v="Discount retailer Costco could start construction of a new distribution center in Owatonna this fall, a center that would likely be the largest new construction industrial building ever proposed for the southern Minnesota city. Costco is planning to build a 354,000-square-foot distribution warehouse. the finished distribution center will have a value of about $34 million, and will create about 125 full-time jobs and 75 part-time jobs. 9/19 article: $13m in TIF. plus $2m by Costco on road construction"/>
    <s v="Warehouse; Distribution Center"/>
    <n v="36000000"/>
    <n v="200"/>
    <x v="0"/>
    <n v="354000"/>
    <x v="0"/>
    <x v="8"/>
    <s v="https://finance-commerce.com/2019/07/costco-plans-distribution-center-in-owatonna/"/>
    <s v="Finance &amp; Commerce"/>
    <m/>
    <n v="55060"/>
    <n v="44.047612999999998"/>
    <n v="-93.223724000000004"/>
    <s v="Government Financing"/>
    <s v="TIF"/>
    <n v="13000000"/>
    <m/>
    <s v="Costco"/>
    <s v="Issaquah"/>
    <s v="WA"/>
    <m/>
    <s v="South"/>
    <x v="1"/>
  </r>
  <r>
    <x v="6"/>
    <d v="2019-07-11T00:00:00"/>
    <x v="71"/>
    <s v="Minneapolis"/>
    <s v="Hennepin"/>
    <s v="MN"/>
    <s v="Doosan Bobcat, the construction giant, chose Minneapolis for its global collaboration center because of easy accessibility. Doosan Bobcat will open a new collaboration center in downtown Minneapolis' Fifth Street Towers this fall as part of its new global organizational structure. The 10,600-square-foot office will help the South Korean-based construction equipment giant host more global meetings and accelerate innovation."/>
    <s v="Office (Non-HQ)"/>
    <m/>
    <m/>
    <x v="0"/>
    <n v="10600"/>
    <x v="4"/>
    <x v="1"/>
    <s v="http://www.startribune.com/doosan-bobcat-will-open-global-office-in-downtown-minneapolis/512587322/"/>
    <s v="Star Tribune"/>
    <m/>
    <n v="55401"/>
    <n v="44.984577000000002"/>
    <n v="-93.269097000000002"/>
    <m/>
    <m/>
    <m/>
    <s v="y"/>
    <s v="Doosan Bobcat"/>
    <s v="West Fargo"/>
    <s v="ND"/>
    <m/>
    <s v="Metro"/>
    <x v="1"/>
  </r>
  <r>
    <x v="6"/>
    <d v="2019-07-11T00:00:00"/>
    <x v="320"/>
    <s v="Minneapolis"/>
    <s v="Hennepin"/>
    <s v="MN"/>
    <s v="A global architecture firm is opening a Minneapolis office at 60 Sixth St S to help property owners reimagine, as Managing Director Cassandra Griep puts it, 'anything that's within the four walls.' she hopes to have up to 10 people by the end of the year, with a final headcount of between 15 to 30. IA Interior Architects specializes in interior architecture and workplace design. The company has worked on projects ranging from open offices for video game developers to luxury airport lounges."/>
    <s v="Office (Non-HQ)"/>
    <m/>
    <n v="30"/>
    <x v="0"/>
    <m/>
    <x v="15"/>
    <x v="4"/>
    <s v="https://finance-commerce.com/2019/07/design-firm-ia-interior-architects-opens-local-branch/"/>
    <s v="Finance &amp; Commerce"/>
    <m/>
    <n v="55401"/>
    <n v="44.984577000000002"/>
    <n v="-93.269097000000002"/>
    <m/>
    <m/>
    <m/>
    <m/>
    <s v="IA Interior Architects"/>
    <s v="Los Angeles"/>
    <s v="CA"/>
    <m/>
    <s v="Metro"/>
    <x v="1"/>
  </r>
  <r>
    <x v="6"/>
    <d v="2019-07-12T00:00:00"/>
    <x v="321"/>
    <s v="Ramsey"/>
    <s v="Anoka"/>
    <s v="MN"/>
    <s v="Earlier this week, Lazydays RV opened a new state-of-the-art service facility in Anoka County. It is the Tampa-based recreational vehicles manufacturer's 5th dealership nationwide, and its 1st in the Upper Midwest. The new facility includes 28 service bays and four body and collision bays with a 60-ft paint booth. 'We are very excited to introduce the Lazydays brand and its exceptional customer experience and expertise to the Minneapolis market,' said Lazydays VP of service Victor Doran."/>
    <s v="Other"/>
    <m/>
    <m/>
    <x v="0"/>
    <m/>
    <x v="5"/>
    <x v="5"/>
    <s v="http://tcbmag.com/news/articles/2019/july/florida-rv-company-lazydays-opens-first-midwest-facility-in-anoka-county"/>
    <s v="Twin Cities Business"/>
    <s v="8390 Highway 10 NW"/>
    <n v="55303"/>
    <n v="45.237304000000002"/>
    <n v="-93.480619000000004"/>
    <m/>
    <m/>
    <m/>
    <m/>
    <m/>
    <s v="Tampa"/>
    <s v="FL"/>
    <m/>
    <s v="Metro"/>
    <x v="1"/>
  </r>
  <r>
    <x v="6"/>
    <d v="2019-07-12T00:00:00"/>
    <x v="322"/>
    <s v="Dawson"/>
    <s v="Lac Qui Parle"/>
    <s v="MN"/>
    <s v="Puris Proteins, LLC may expand in Lac qui Parle County, Minnesota. The company is a manufacturer of a spectrum of non-GMO, plant-based ingredients made from soy, pulses, lentils, and corn. The proposed project would consist of converting a shuttered dairy protein plant into a plant-based processing facility. The total project cost is $89,840,828. Received JCF award $1.86 million JCF, $1 million MIF."/>
    <s v="Manufacturing"/>
    <n v="100000000"/>
    <n v="75"/>
    <x v="0"/>
    <n v="200000"/>
    <x v="0"/>
    <x v="14"/>
    <s v="https://mn.gov/deed/ed/about-us/news-events/press-releases/ed-press-releases.jsp?id=1045-404298"/>
    <s v="DEED"/>
    <m/>
    <n v="56232"/>
    <n v="44.929288999999997"/>
    <n v="-96.056499000000002"/>
    <s v="Government Financing"/>
    <s v="JCF, MIF"/>
    <n v="2860000"/>
    <m/>
    <s v="Puris Proteins LLC"/>
    <s v="Minneapolis"/>
    <s v="MN"/>
    <m/>
    <s v="Central"/>
    <x v="1"/>
  </r>
  <r>
    <x v="6"/>
    <d v="2019-07-16T00:00:00"/>
    <x v="323"/>
    <s v="Minneapolis"/>
    <s v="Hennepin"/>
    <s v="MN"/>
    <s v="Chicago-based RSM US LLP renewed its lease at RSM Plaza in downtown Minneapolis. The lease will run for 12 years. RSM occupies more than 115,000 square feet in the plaza, making it the biggest tenant in the building located at 801 Nicollet Mall. In a news release, RSM added that it plans to 'fully renovate the space to empower a modern workforce.' The new renovations are slated to wrap up in 2020."/>
    <s v="Office (Non-HQ)"/>
    <m/>
    <m/>
    <x v="0"/>
    <m/>
    <x v="34"/>
    <x v="4"/>
    <s v="http://tcbmag.com/news/articles/2019/july/rsm-renews-lease-in-namesake-skyscraper"/>
    <s v="Twin Cities Business"/>
    <s v="801 Nicollet Ave Ste 1100"/>
    <n v="55402"/>
    <n v="44.976021000000003"/>
    <n v="-93.273078999999996"/>
    <m/>
    <m/>
    <m/>
    <s v="y"/>
    <s v="RSM International"/>
    <s v="London"/>
    <m/>
    <s v="United Kingdom"/>
    <s v="Metro"/>
    <x v="1"/>
  </r>
  <r>
    <x v="6"/>
    <d v="2019-07-19T00:00:00"/>
    <x v="40"/>
    <s v="Northfield"/>
    <s v="Rice"/>
    <s v="MN"/>
    <s v="The Fish Guys is a St. Louis Park-based wholesale distributor. In May the Fish Guys bought a 16,000-square-foot meat-processing plant for $710,000, at 1595 57th St. in Northfield, and invested more than $1 million in additional funds to renovate and add equipment to the facility. Will add 15 to 20 new positions between its Northfield and St. Louis Park locations. St. Louis Park’s 40,000-square-foot facility will remain the company’s distribution center."/>
    <s v="Manufacturing; Warehouse"/>
    <n v="1700000"/>
    <n v="20"/>
    <x v="0"/>
    <n v="16000"/>
    <x v="1"/>
    <x v="1"/>
    <s v="http://www.startribune.com/twin-cities-fish-distributor-opens-a-plant-to-process-meat-in-northfield/512896792/"/>
    <s v="Star Tribune"/>
    <s v="1595 57th St"/>
    <n v="55057"/>
    <n v="44.504945999999997"/>
    <n v="-93.291285000000002"/>
    <m/>
    <m/>
    <m/>
    <m/>
    <s v="The Fish Guys"/>
    <s v="St Louis Park"/>
    <s v="MN"/>
    <m/>
    <s v="South"/>
    <x v="1"/>
  </r>
  <r>
    <x v="6"/>
    <d v="2019-07-28T00:00:00"/>
    <x v="324"/>
    <s v="Fridley"/>
    <s v="Anoka"/>
    <s v="MN"/>
    <s v="Eric Grilly, CEO of Fridley-based VStar Entertainment Group, is working to expand the performance portfolio of parent company Cirque du Soleil Entertainment Group as executive head of studio alliances for the Montreal-based global live-entertainment brand. With two new shows this year, VStar's workforce of 300 could increase 20% this year, Grilly said."/>
    <s v="Headquarters; Office (Non-HQ)"/>
    <m/>
    <n v="60"/>
    <x v="0"/>
    <m/>
    <x v="0"/>
    <x v="12"/>
    <s v="http://www.startribune.com/vstar-ceo-seeks-new-live-entertainment-opportunities-for-parent-cirque-du-soleil/513269662/"/>
    <s v="Star Tribune"/>
    <s v="44 Northern Stacks Dr Ste 200"/>
    <n v="55421"/>
    <n v="45.040799"/>
    <n v="-93.263003999999995"/>
    <m/>
    <m/>
    <m/>
    <s v="y"/>
    <s v="Cirque du Soleil"/>
    <m/>
    <s v="Quebec"/>
    <s v="CANADA"/>
    <s v="Metro"/>
    <x v="1"/>
  </r>
  <r>
    <x v="6"/>
    <d v="2019-07-29T00:00:00"/>
    <x v="325"/>
    <s v="Coon Rapids"/>
    <s v="Anoka"/>
    <s v="MN"/>
    <s v="Green Bay Packaging, which produces corrugated cardboard shipping containers and displays, is constructing more than 100,000 SF of additional space at its facility on 87th Lane NW. The new additions include: 44,215 SF of warehouse space, more than doubling the existing capacity; 47,770 SF to expand production with additional assembly lines and material staging; 6,490 square feet for new restrooms, training room, larger break room.  Expects to add about 20 jobs in Coon Rapids upon completion of project."/>
    <s v="Manufacturing"/>
    <m/>
    <n v="20"/>
    <x v="0"/>
    <n v="100000"/>
    <x v="13"/>
    <x v="1"/>
    <s v="https://coonrapidsciviccenter.com/CivicAlerts.aspx?AID=1903"/>
    <s v="Other"/>
    <s v="555 87th Lane NW"/>
    <n v="55433"/>
    <n v="45.129869999999997"/>
    <n v="-93.280655999999993"/>
    <m/>
    <m/>
    <m/>
    <m/>
    <s v="Green Bay Packaging"/>
    <s v="Green Bay"/>
    <s v="WI"/>
    <m/>
    <s v="Metro"/>
    <x v="1"/>
  </r>
  <r>
    <x v="6"/>
    <d v="2019-07-30T00:00:00"/>
    <x v="326"/>
    <s v="Maple Grove"/>
    <s v="Hennepin"/>
    <s v="MN"/>
    <s v="Boston Scientific Corp plans to build a 107,000-square-foot addition to its Maple Grove campus in a project that would allow the medical-device manufacturer to hire an additional 40 employees, according to city staff. The Massachusetts-based company has a three-building campus near Weaver Lake Road and Interstate 94 that employs 4,000 people. The two-story addition on Building 2 increases production capacity, and adds a new 9,300 SF cafeteria and 41,000 SF of office space"/>
    <s v="Office (Non-HQ); Manufacturing; Research &amp; Dev"/>
    <m/>
    <n v="40"/>
    <x v="0"/>
    <n v="107000"/>
    <x v="11"/>
    <x v="1"/>
    <s v="https://www.bizjournals.com/twincities/news/2019/07/30/boston-scientific-plans-expansion-to-maple-grove.html"/>
    <s v="MSP Business Journal"/>
    <s v="One Scimed Place"/>
    <n v="55311"/>
    <n v="45.124262999999999"/>
    <n v="-93.499583000000001"/>
    <m/>
    <m/>
    <m/>
    <m/>
    <s v="Boston Scientific"/>
    <s v="Marlborough"/>
    <s v="MA"/>
    <m/>
    <s v="Metro"/>
    <x v="1"/>
  </r>
  <r>
    <x v="6"/>
    <d v="2019-08-01T00:00:00"/>
    <x v="327"/>
    <s v="St. Cloud"/>
    <s v="Sherburne"/>
    <s v="MN"/>
    <s v="St. Cloud commercial printing company Nahan Printing has partnered with St. Cloud State University to help new and current employees sharpen their technical skills. SCSU helped create training materials specifically for Nahan staff. Nahan Printing cut the ribbon on its new, grant-funded training center, Nahan University, on July 17. The Nahan University training lab currently operates in a remodeled area of the manufacturing center. Received a MJSP Grant."/>
    <s v="Headquarters; Manufacturing"/>
    <m/>
    <m/>
    <x v="0"/>
    <m/>
    <x v="13"/>
    <x v="1"/>
    <s v="https://wjon.com/nahan-printing-opens-employee-training-center/"/>
    <s v="Other"/>
    <s v="7000 Saukview Dr"/>
    <n v="56303"/>
    <n v="45.558867999999997"/>
    <n v="-94.249836999999999"/>
    <s v="Government Financing"/>
    <s v="MJSP"/>
    <m/>
    <m/>
    <m/>
    <m/>
    <m/>
    <m/>
    <s v="Central"/>
    <x v="1"/>
  </r>
  <r>
    <x v="6"/>
    <d v="2019-08-02T00:00:00"/>
    <x v="328"/>
    <s v="Bloomington"/>
    <s v="Hennepin"/>
    <s v="MN"/>
    <s v="2019 Best Places to Work First-time honoree Alarm.com has a number of tangible benefits it offers employees. How many jobs do you have open, and where do you post your job openings' We currently have 82 job openings companywide for positions such as customer support, software engineering, product management, sales and more."/>
    <s v="Other"/>
    <m/>
    <n v="82"/>
    <x v="0"/>
    <m/>
    <x v="5"/>
    <x v="5"/>
    <s v="https://www.bizjournals.com/twincities/news/2019/08/02/best-places-to-work-2019-alarm-com.html"/>
    <s v="MSP Business Journal"/>
    <s v="7900 Xerxes Ave S"/>
    <n v="55431"/>
    <n v="44.859599000000003"/>
    <n v="-93.320182000000003"/>
    <m/>
    <m/>
    <m/>
    <m/>
    <m/>
    <s v="Vienna"/>
    <s v="VA"/>
    <m/>
    <s v="Metro"/>
    <x v="1"/>
  </r>
  <r>
    <x v="6"/>
    <d v="2019-08-02T00:00:00"/>
    <x v="111"/>
    <s v="Eden Prairie"/>
    <s v="Hennepin"/>
    <s v="MN"/>
    <s v="2019 Best Places to Work First-time Best Places to Work honoree Ascentis offers a number of programs that contribute to its award-winning workplace. How many jobs do you have open, and where do you post your job openings' As of June 10, we have 18 positions open, which tends to be the average amount of jobs open at any given time throughout the year. "/>
    <s v="Headquarters"/>
    <m/>
    <n v="18"/>
    <x v="0"/>
    <m/>
    <x v="3"/>
    <x v="4"/>
    <s v="https://www.bizjournals.com/twincities/news/2019/08/02/best-places-to-work-2019-ascentis-corp.html"/>
    <s v="MSP Business Journal"/>
    <s v="11995 Singletree Lane Ste 400"/>
    <n v="55344"/>
    <n v="44.855870000000003"/>
    <n v="-93.428830000000005"/>
    <m/>
    <m/>
    <m/>
    <m/>
    <m/>
    <m/>
    <m/>
    <m/>
    <s v="Metro"/>
    <x v="1"/>
  </r>
  <r>
    <x v="6"/>
    <d v="2019-08-02T00:00:00"/>
    <x v="329"/>
    <s v="Minneapolis"/>
    <s v="Hennepin"/>
    <s v="MN"/>
    <s v="Foodsby raised about $19.4 million in Series A and B funding rounds, and used the capital to expand into new markets and increase its sales, marketing and development teams. It plans to increase its restaurant and building partners from 18 to 30 by year's end. The company has 150 employees, and plans to expand to nearly 200.  Relocated from Northeast Minneapolis (where it had 7,000 square feet on Broadway Street) to downtown Minneapolis in 34,000 square feet of renovated space."/>
    <m/>
    <m/>
    <n v="50"/>
    <x v="0"/>
    <n v="27000"/>
    <x v="16"/>
    <x v="9"/>
    <s v="http://www.startribune.com/foodsby-zeros-in-on-office-lunch-deliveries-carving-niche-amid-a-boom/514311862/"/>
    <s v="Star Tribune"/>
    <s v="3001 Broadway St NE"/>
    <n v="55413"/>
    <n v="44.999822000000002"/>
    <n v="-93.219156999999996"/>
    <s v="Venture Capital"/>
    <m/>
    <m/>
    <m/>
    <m/>
    <m/>
    <m/>
    <m/>
    <s v="Metro"/>
    <x v="1"/>
  </r>
  <r>
    <x v="6"/>
    <d v="2019-08-02T00:00:00"/>
    <x v="330"/>
    <s v="Minnetonka"/>
    <s v="Hennepin"/>
    <s v="MN"/>
    <s v="2019 Best Places to Work FRSecure is a full-service information security management company and a first-time Best Places to Work honoree. How many jobs do you have open, and where do you post your job openings: Six job postings for nine open positions"/>
    <s v="Headquarters"/>
    <m/>
    <n v="9"/>
    <x v="0"/>
    <m/>
    <x v="19"/>
    <x v="4"/>
    <s v="https://www.bizjournals.com/twincities/news/2019/08/02/best-places-to-work-2019-frsecure.html"/>
    <s v="MSP Business Journal"/>
    <s v="5909 Baker Rd Ste 500"/>
    <n v="55345"/>
    <n v="44.897027000000001"/>
    <n v="-93.445846000000003"/>
    <m/>
    <m/>
    <m/>
    <m/>
    <m/>
    <m/>
    <m/>
    <m/>
    <s v="Metro"/>
    <x v="1"/>
  </r>
  <r>
    <x v="6"/>
    <d v="2019-08-02T00:00:00"/>
    <x v="138"/>
    <s v="St Paul"/>
    <s v="Ramsey"/>
    <s v="MN"/>
    <s v="2019 Best Places to Work Gillette Children's Specialty Healthcare is a five-time Best Places to Work honoree due to areas such as an emphasis on professional development, with various courses and training opportunities for staff, and regular participation in surveys to ensure competitive pay in relation to the market. How many jobs do you have open, and where do you post your job openings: We have approximately 45 positions open, including patient care and nonpatient care positions."/>
    <s v="Headquarters; Healthcare Facility"/>
    <m/>
    <n v="45"/>
    <x v="0"/>
    <m/>
    <x v="0"/>
    <x v="0"/>
    <s v="https://www.bizjournals.com/twincities/news/2019/08/02/best-places-to-work-2019-gillette-childrens.html"/>
    <s v="MSP Business Journal"/>
    <s v="200 University Ave E"/>
    <n v="55101"/>
    <n v="44.956352000000003"/>
    <n v="-93.095727999999994"/>
    <m/>
    <m/>
    <m/>
    <m/>
    <m/>
    <m/>
    <m/>
    <m/>
    <s v="Metro"/>
    <x v="1"/>
  </r>
  <r>
    <x v="6"/>
    <d v="2019-08-02T00:00:00"/>
    <x v="141"/>
    <s v="Bloomington"/>
    <s v="Hennepin"/>
    <s v="MN"/>
    <s v="2019 Best Places to Work How many jobs do you have open,…: 29."/>
    <s v="Headquarters"/>
    <m/>
    <n v="29"/>
    <x v="0"/>
    <m/>
    <x v="19"/>
    <x v="4"/>
    <s v="https://www.bizjournals.com/twincities/news/2019/08/02/best-places-to-work-2019-loffler-cos-inc.html"/>
    <s v="MSP Business Journal"/>
    <s v="1101 E 78th St; Ste 200"/>
    <n v="55420"/>
    <n v="44.861657999999998"/>
    <n v="-93.260357999999997"/>
    <m/>
    <m/>
    <m/>
    <m/>
    <m/>
    <m/>
    <m/>
    <m/>
    <s v="Metro"/>
    <x v="1"/>
  </r>
  <r>
    <x v="6"/>
    <d v="2019-08-02T00:00:00"/>
    <x v="331"/>
    <s v="St. Cloud"/>
    <s v="Sherburne"/>
    <s v="MN"/>
    <s v="2019 Best Places to Work Marco Technologies is a repeat Best Places to Work honoree, in part due to its continued focus on seeking ways to improve upon its already award-winning environment. How many jobs do you have open: 96 current openings"/>
    <s v="Headquarters"/>
    <m/>
    <n v="96"/>
    <x v="0"/>
    <m/>
    <x v="10"/>
    <x v="4"/>
    <s v="https://www.bizjournals.com/twincities/news/2019/08/02/best-places-to-work-2019-marco-technologies.html"/>
    <s v="MSP Business Journal"/>
    <s v="4510 Heatherwood Rd"/>
    <n v="56301"/>
    <n v="45.490848"/>
    <n v="-94.147718999999995"/>
    <m/>
    <m/>
    <m/>
    <m/>
    <m/>
    <m/>
    <m/>
    <m/>
    <s v="Central"/>
    <x v="1"/>
  </r>
  <r>
    <x v="6"/>
    <d v="2019-08-02T00:00:00"/>
    <x v="332"/>
    <s v="Eden Prairie"/>
    <s v="Hennepin"/>
    <s v="MN"/>
    <s v="2019 Best Places to Work Homebuilder PulteGroup Inc. ' Minnesota is a two-time Best Places to Work honoree and continues looking for ways to improve its work environment for employees. How many jobs do you have open, and where do you post your job openings: Currently, we have four openings within our division."/>
    <s v="Headquarters"/>
    <m/>
    <n v="4"/>
    <x v="0"/>
    <m/>
    <x v="0"/>
    <x v="11"/>
    <s v="https://www.bizjournals.com/twincities/news/2019/08/02/best-places-to-work-2019-pultegroup-inc-minnesota.html"/>
    <s v="MSP Business Journal"/>
    <s v="7500 Office Ridge Cir #325"/>
    <n v="55344"/>
    <n v="44.868108999999997"/>
    <n v="-93.428552999999994"/>
    <m/>
    <m/>
    <m/>
    <m/>
    <m/>
    <s v="Atlanta"/>
    <s v="GA"/>
    <m/>
    <s v="Metro"/>
    <x v="1"/>
  </r>
  <r>
    <x v="6"/>
    <d v="2019-08-02T00:00:00"/>
    <x v="333"/>
    <s v="Minneapolis"/>
    <s v="Hennepin"/>
    <s v="MN"/>
    <s v="2019 Best Places to Work First-time Best Places to Work honoree RBC Wealth Management-U.S. offers benefits designed with traditional and modern families in mind. How many jobs do you have open...' As of June 10, there are 108 open positions nationwide ' 51 in Minnesota."/>
    <s v="Office (Non-HQ)"/>
    <m/>
    <n v="51"/>
    <x v="0"/>
    <m/>
    <x v="0"/>
    <x v="6"/>
    <s v="https://www.bizjournals.com/twincities/news/2019/08/02/best-places-to-work-2019-rbc-wealth-management-u-s.html"/>
    <s v="MSP Business Journal"/>
    <s v="60 S Sixth St"/>
    <n v="55433"/>
    <n v="45.189349999999997"/>
    <n v="-93.365716000000006"/>
    <m/>
    <m/>
    <m/>
    <s v="y"/>
    <s v="Royal Bank of Canada"/>
    <s v="Toronto"/>
    <s v="ON"/>
    <s v="CANADA"/>
    <s v="Metro"/>
    <x v="1"/>
  </r>
  <r>
    <x v="6"/>
    <d v="2019-08-02T00:00:00"/>
    <x v="334"/>
    <s v="Minneapolis"/>
    <s v="Hennepin"/>
    <s v="MN"/>
    <s v="2019 Best Places to Work Revel Health team members are driven by the health care tech company's mission and values: 'Make the world a healthier place using innovative technology, fanatical teamwork and brilliant creativity.' First-time Best Places to Work honoree. How many jobs do you have open, and where do you post your job openings: Six current openings."/>
    <s v="Headquarters"/>
    <m/>
    <n v="6"/>
    <x v="0"/>
    <m/>
    <x v="3"/>
    <x v="4"/>
    <s v="https://www.bizjournals.com/twincities/news/2019/08/02/best-places-to-work-2019-revel-health.html"/>
    <s v="MSP Business Journal"/>
    <s v="123 N 3rd St Ste 605"/>
    <n v="55401"/>
    <n v="44.985886000000001"/>
    <n v="-93.270270999999994"/>
    <m/>
    <m/>
    <m/>
    <m/>
    <m/>
    <m/>
    <m/>
    <m/>
    <s v="Metro"/>
    <x v="1"/>
  </r>
  <r>
    <x v="6"/>
    <d v="2019-08-02T00:00:00"/>
    <x v="335"/>
    <s v="Minneapolis"/>
    <s v="Hennepin"/>
    <s v="MN"/>
    <s v="Staffing firm Robert Half International Inc. is ramping up its own hiring in its Minneapolis office, and to help attract and retain team members it offers a number of attractive benefits, including workplace flexibility and a generous paid time off policy. Since this is the hottest job market we've seen in years, we are also hiring internally for roughly 30 roles, most of which involve matching today's top talent with our clients throughout the area"/>
    <s v="Headquarters; Office (Non-HQ)"/>
    <m/>
    <n v="30"/>
    <x v="0"/>
    <m/>
    <x v="38"/>
    <x v="15"/>
    <s v="https://www.bizjournals.com/twincities/news/2019/08/02/best-places-to-work-2019-robert-half-international.html"/>
    <s v="MSP Business Journal"/>
    <s v="800 Nicollet Mall #2700"/>
    <n v="55402"/>
    <n v="44.975606999999997"/>
    <n v="-93.273875000000004"/>
    <m/>
    <m/>
    <m/>
    <m/>
    <m/>
    <m/>
    <m/>
    <m/>
    <s v="Metro"/>
    <x v="1"/>
  </r>
  <r>
    <x v="6"/>
    <d v="2019-08-02T00:00:00"/>
    <x v="151"/>
    <s v="Minneapolis"/>
    <s v="Hennepin"/>
    <s v="MN"/>
    <s v="2019 Best Places to Work This year marks SportsEngine's second Best Places to Work recognition. The company, which develops software for youth and amateur sports organizations, offers a hefty paid parental leave policy and 401(k) match to team members. How many jobs do you have open: 15 openings"/>
    <s v="Headquarters"/>
    <m/>
    <n v="15"/>
    <x v="0"/>
    <m/>
    <x v="23"/>
    <x v="1"/>
    <s v="https://www.bizjournals.com/twincities/news/2019/08/02/best-places-to-work-2019-sportsengine.html"/>
    <s v="MSP Business Journal"/>
    <s v="1400 Van Buren St NE"/>
    <n v="55413"/>
    <n v="45.002665"/>
    <n v="-93.248981000000001"/>
    <m/>
    <m/>
    <m/>
    <m/>
    <m/>
    <m/>
    <m/>
    <m/>
    <s v="Metro"/>
    <x v="1"/>
  </r>
  <r>
    <x v="6"/>
    <d v="2019-08-02T00:00:00"/>
    <x v="29"/>
    <s v="St Louis Park"/>
    <s v="Hennepin"/>
    <s v="MN"/>
    <s v="2019 Best Places to Work Stoneridge Software Inc. is a five-time Best Places to Work honoree thanks in part to its relaxed office atmosphere, with beer and snacks; a dress-for-your-day dress code; quarterly themed potlucks; and a robust benefits package. The IT consulting firm also has a high-frequency approach in sharing feedback with employees. How many jobs do you have open, and where do you post your job openings: Currently, Stoneridge has 18 job openings."/>
    <s v="Headquarters"/>
    <m/>
    <n v="18"/>
    <x v="0"/>
    <m/>
    <x v="3"/>
    <x v="4"/>
    <s v="https://www.bizjournals.com/twincities/news/2019/08/02/best-places-to-work-2019-stoneridge-software-inc.html"/>
    <s v="MSP Business Journal"/>
    <s v="6465 Wayzata Blvd Ste 775"/>
    <n v="55426"/>
    <n v="44.969523000000002"/>
    <n v="-93.361908999999997"/>
    <m/>
    <m/>
    <m/>
    <m/>
    <m/>
    <m/>
    <m/>
    <m/>
    <s v="Metro"/>
    <x v="1"/>
  </r>
  <r>
    <x v="6"/>
    <d v="2019-08-02T00:00:00"/>
    <x v="336"/>
    <s v="Willmar"/>
    <s v="Kandiyohi"/>
    <s v="MN"/>
    <s v="2019 Best Places to Work How many jobs do you have open...' We have approximately 40 positions currently open, and post many of our available positions internally. As the nation's largest 100 percent employee-owned hospitality company, TPI Hospitality provides a no-cost ownership opportunity for our associates to secure financial security for their retirement years."/>
    <s v="Headquarters"/>
    <m/>
    <n v="40"/>
    <x v="0"/>
    <m/>
    <x v="14"/>
    <x v="7"/>
    <s v="https://www.bizjournals.com/twincities/news/2019/08/02/best-places-to-work-2019-tpi-hospitality.html"/>
    <s v="MSP Business Journal"/>
    <s v="103 15th Ave NW Ste 200"/>
    <n v="56201"/>
    <n v="45.138036"/>
    <n v="-95.043182000000002"/>
    <m/>
    <m/>
    <m/>
    <m/>
    <m/>
    <m/>
    <m/>
    <m/>
    <s v="Central"/>
    <x v="1"/>
  </r>
  <r>
    <x v="6"/>
    <d v="2019-08-02T00:00:00"/>
    <x v="337"/>
    <s v="Minneapolis"/>
    <s v="Hennepin"/>
    <s v="MN"/>
    <s v="2019 Best Places to Work Besides providing many of the typical benefits of a Best Places to Work, three-time honoree West Monroe Partners is on a mission to build the next generation of leaders at its consulting firm, and it aims to do that by creating an inclusive and diverse team. How many jobs do you have open, and where do you post your job openings: We currently have 10 open positions in our Minneapolis office and dozens of open positions across the country."/>
    <s v="Headquarters"/>
    <m/>
    <n v="10"/>
    <x v="0"/>
    <m/>
    <x v="10"/>
    <x v="4"/>
    <s v="https://www.bizjournals.com/twincities/news/2019/08/02/best-places-to-work-2019-west-monroe-partners.html"/>
    <s v="MSP Business Journal"/>
    <m/>
    <n v="55401"/>
    <n v="44.984577000000002"/>
    <n v="-93.269097000000002"/>
    <m/>
    <m/>
    <m/>
    <m/>
    <m/>
    <s v="Chicago"/>
    <s v="IL"/>
    <m/>
    <s v="Metro"/>
    <x v="1"/>
  </r>
  <r>
    <x v="6"/>
    <d v="2019-08-02T00:00:00"/>
    <x v="338"/>
    <s v="Brooklyn Park"/>
    <s v="Hennepin"/>
    <s v="MN"/>
    <s v="2019 Best Places to Work First-time Best Places to Work honoree York Solutions puts a premium on professional development for its team members. How many jobs do you have open, and where do you post your job openings: 10 full-time roles open in Minnesota right now."/>
    <m/>
    <m/>
    <n v="10"/>
    <x v="0"/>
    <m/>
    <x v="10"/>
    <x v="4"/>
    <s v="https://www.bizjournals.com/twincities/news/2019/08/02/best-places-to-work-2019-york-solutions.html"/>
    <s v="MSP Business Journal"/>
    <s v="7100 Northland Circle Ste 202"/>
    <n v="55428"/>
    <n v="45.083094000000003"/>
    <n v="-93.388878000000005"/>
    <m/>
    <m/>
    <m/>
    <m/>
    <m/>
    <m/>
    <m/>
    <m/>
    <s v="Metro"/>
    <x v="1"/>
  </r>
  <r>
    <x v="6"/>
    <d v="2019-08-13T00:00:00"/>
    <x v="339"/>
    <s v="Little Falls"/>
    <s v="Morrison"/>
    <s v="MN"/>
    <s v="Located in an industrial park, Barrett Petfood Innovations' new facility in Little Falls is expected to create 85 jobs within the next three years, with an average wage of $15.98 per hour. MN DEED is supporting the project with a $450,000 investment from MIF and a $175,000 investment from JCF. the 160,000-square-foot building will house initially one production line and eventually two, starting with a minimum of 40 employees, with a five-year goal of 200 to 300 workers."/>
    <s v="Manufacturing"/>
    <n v="19050000"/>
    <n v="300"/>
    <x v="0"/>
    <n v="160000"/>
    <x v="1"/>
    <x v="1"/>
    <s v="https://www.brainerddispatch.com/lifestyle/pets/4609004-Barrett-pet-food-company-breaks-ground-for-Little-Falls-facility"/>
    <s v="Brainerd Dispatch"/>
    <m/>
    <n v="56345"/>
    <n v="45.980055"/>
    <n v="-94.245867000000004"/>
    <s v="Government Financing"/>
    <s v="JCF, MIF"/>
    <n v="625000"/>
    <m/>
    <s v="Barrett Petfood Innovations"/>
    <s v="Brainerd"/>
    <s v="MN"/>
    <m/>
    <s v="Central"/>
    <x v="1"/>
  </r>
  <r>
    <x v="6"/>
    <d v="2019-08-14T00:00:00"/>
    <x v="340"/>
    <s v="Chaska"/>
    <s v="Carver"/>
    <s v="MN"/>
    <s v="A Chaska maker of gaskets, seals and insulation is looking to nearly double in size. American Flexible Products custom fabricates foam, rubber, plastics and other flexible materials at 124 Peavey Circle. It wants to expand its two-story, 24-foot-high, 30,000-square-foot building to the west with a 25,000-square-foot, two-story addition of warehouse space, a break room and bathrooms, according to city planning documents. two loading docks would be added to the south side of the building."/>
    <s v="Headquarters; Manufacturing"/>
    <m/>
    <m/>
    <x v="0"/>
    <n v="25000"/>
    <x v="2"/>
    <x v="1"/>
    <s v="https://www.bizjournals.com/twincities/news/2019/08/14/chaska-manufacturer-looks-to-double-in-size.html"/>
    <s v="MSP Business Journal"/>
    <s v="124 Peavey Cir"/>
    <n v="55318"/>
    <n v="44.838582000000002"/>
    <n v="-93.600645"/>
    <m/>
    <m/>
    <m/>
    <m/>
    <m/>
    <m/>
    <m/>
    <m/>
    <s v="Metro"/>
    <x v="1"/>
  </r>
  <r>
    <x v="6"/>
    <d v="2019-08-21T00:00:00"/>
    <x v="341"/>
    <s v="Monticello"/>
    <s v="Wright"/>
    <s v="MN"/>
    <s v="Ultra Machining Co. has reached an agreement with the Monticello Economic Development Authority to build a new 40,000 square foot facility (next to its current site). The city is contributing to the expansion by buying the land of the proposed site through tax-increment financing. The project is expected to be a multi-million-dollar undertaking and expects to add 60 new jobs in the first three years of the new facility's operation. Work is expected to begin in late 2019 or early 2020. DEED awards 2/2020: Job Creation Fund $175K, MN Investment Fund $300K"/>
    <s v="Other"/>
    <m/>
    <n v="60"/>
    <x v="0"/>
    <n v="40000"/>
    <x v="4"/>
    <x v="1"/>
    <s v="http://tcbmag.com/news/articles/2019/august/monticello-manufacturing-company-to-expand"/>
    <s v="Twin Cities Business"/>
    <s v="500 Chelsea Rd"/>
    <n v="55362"/>
    <n v="45.293705000000003"/>
    <n v="-93.785929999999993"/>
    <s v="Government Financing"/>
    <s v="TIF, JCF ($175K), MIF ($300K)"/>
    <n v="475000"/>
    <m/>
    <m/>
    <m/>
    <m/>
    <m/>
    <s v="Central"/>
    <x v="1"/>
  </r>
  <r>
    <x v="6"/>
    <d v="2019-08-22T00:00:00"/>
    <x v="342"/>
    <s v="Fridley"/>
    <s v="Anoka"/>
    <s v="MN"/>
    <s v="CardioMech has raised $7.5 million in convertible-note funding in 2019. It plans to start its series A round soon, hoping to raise between $5-$10 million. CardioMech already runs its R&amp;D, manufacturing and quality-control operations out of Fridley and this week incorporated in the state, though it hasn't officially designated the Minnesota site as its headquarters. Has 7 full-time employees and also employs manufacturers and consultants in Fridley. Plan to hire more full-time staff with funding"/>
    <s v="Office (Non-HQ); Manufacturing; Research &amp; Dev"/>
    <m/>
    <m/>
    <x v="0"/>
    <m/>
    <x v="11"/>
    <x v="1"/>
    <s v="https://www.bizjournals.com/twincities/news/2019/08/22/why-this-norwegian-medtech-company-is-so.html"/>
    <s v="MSP Business Journal"/>
    <m/>
    <m/>
    <n v="46.316133999999998"/>
    <n v="-94.199479999999994"/>
    <m/>
    <m/>
    <m/>
    <s v="y"/>
    <s v="CardioMech AS"/>
    <s v="Oslo"/>
    <m/>
    <s v="Norway"/>
    <s v="Metro"/>
    <x v="1"/>
  </r>
  <r>
    <x v="6"/>
    <d v="2019-08-27T00:00:00"/>
    <x v="343"/>
    <s v="Elk River"/>
    <s v="Sherburne"/>
    <s v="MN"/>
    <s v="Distinctive Iron currently employs 14 PT and 2 PT with an average hourly wage of $18.80/hr and has outgrown their leased space on Industrial Blvd in Elk River. They intend to relocate to 15970 Jarvis Street NW in Elk River. Will create 5 FT jobs paying avg of $18.80/hr. They are purchasing $35,000 of new equipment. Total project cost is approximate $1.53 million, of which they can provide $116,000 in equity. They are seeking a $100,000 Jobs Incentive Microloan from Elk River. Awarded $42,474 JCF"/>
    <s v="Headquarters; Manufacturing"/>
    <n v="1530000"/>
    <n v="5"/>
    <x v="0"/>
    <m/>
    <x v="27"/>
    <x v="1"/>
    <s v="http://web1-elkr.ci.elk-river.mn.us/weblink/1/doc/278736/Page1.aspx"/>
    <s v="Other"/>
    <s v="15970 Jarvis Street NW"/>
    <n v="55330"/>
    <n v="45.261000000000003"/>
    <n v="-93.512538000000006"/>
    <s v="Government Financing"/>
    <s v="JCF"/>
    <n v="42474"/>
    <m/>
    <m/>
    <m/>
    <m/>
    <m/>
    <s v="Central"/>
    <x v="1"/>
  </r>
  <r>
    <x v="6"/>
    <d v="2019-08-28T00:00:00"/>
    <x v="163"/>
    <s v="Bloomington"/>
    <s v="Hennepin"/>
    <s v="MN"/>
    <s v="SkyWater Technology Foundry is planning a 66,724-square-foot expansion to its Bloomington facility which will support another 30 to 50 jobs.  Update 10/2019: Expansion is backed by $170 million invested by the U.S. Department of Defense to produce electronics hardened to serve in high-radiation environments, including outer space."/>
    <s v="Manufacturing"/>
    <n v="80000000"/>
    <n v="50"/>
    <x v="0"/>
    <n v="66724"/>
    <x v="23"/>
    <x v="1"/>
    <s v="https://www.bizjournals.com/twincities/news/2019/08/28/microelectronics-maker-will-expand-bloomington.html "/>
    <s v="MSP Business Journal"/>
    <s v="2401 E 86th St"/>
    <n v="55425"/>
    <n v="44.847811999999998"/>
    <n v="-93.237697999999995"/>
    <m/>
    <m/>
    <m/>
    <m/>
    <s v="Oxbow Industries"/>
    <s v="St Paul"/>
    <s v="MN"/>
    <m/>
    <s v="Metro"/>
    <x v="1"/>
  </r>
  <r>
    <x v="6"/>
    <d v="2019-09-01T00:00:00"/>
    <x v="344"/>
    <s v="Bloomington"/>
    <s v="Hennepin"/>
    <s v="MN"/>
    <s v="Saluda Medical, an Australian-based medical device manufacturer, is planning to double its workforce at its Bloomington office._x000a__x000a_To accommodate this growth, Saluda worked with Sever Construction Co. and architecture firm PlanForce Group to create an open and accommodating office that was also functional."/>
    <s v="Office"/>
    <m/>
    <m/>
    <x v="0"/>
    <m/>
    <x v="11"/>
    <x v="1"/>
    <s v="https://www.bizjournals.com/twincities/news/2020/07/07/cool-offices-saluda-medical-bloomington-office.html"/>
    <s v="MSP Business Journal"/>
    <s v="9401 James Ave S Suite 132"/>
    <n v="55431"/>
    <n v="44.832580999999998"/>
    <n v="-93.299891000000002"/>
    <m/>
    <m/>
    <m/>
    <m/>
    <m/>
    <m/>
    <m/>
    <s v="Australia"/>
    <s v="Metro"/>
    <x v="1"/>
  </r>
  <r>
    <x v="6"/>
    <d v="2019-09-04T00:00:00"/>
    <x v="345"/>
    <s v="Burnsville"/>
    <s v="Dakota"/>
    <s v="MN"/>
    <s v="Burnsville-based 75F announced this morning that it had completed its $18 million Series A funding round, led by Breakthrough Energy Ventures and Oil and Gas Climate Initiative. The $18 million comes from a combination of investments and the issuance of convertible notes. 75F creates smart HVAC technology for commercial buildings. 75F will use the funds to add about 40 Minnesota employees over the next year and a half, as well as hiring at its Bangalore, India office."/>
    <s v="Headquarters"/>
    <m/>
    <n v="40"/>
    <x v="0"/>
    <m/>
    <x v="10"/>
    <x v="4"/>
    <s v="https://www.bizjournals.com/twincities/news/2019/09/04/75f-raises-18-million-in-round-led-by-bill-gates.html"/>
    <s v="MSP Business Journal"/>
    <s v="221 River Ridge Circle S"/>
    <n v="55337"/>
    <n v="44.776795999999997"/>
    <n v="-93.284290999999996"/>
    <m/>
    <m/>
    <m/>
    <m/>
    <m/>
    <m/>
    <m/>
    <m/>
    <s v="Metro"/>
    <x v="1"/>
  </r>
  <r>
    <x v="6"/>
    <d v="2019-09-04T00:00:00"/>
    <x v="346"/>
    <s v="Owatonna"/>
    <s v="Steele"/>
    <s v="MN"/>
    <s v="As part of its long-term growth plan, Minimizer is in the final planning stage for a new facility located in Owatonna, Minn. Minimizer currently employs 83 people across three separate campuses in Blooming Prairie. All employees will be relocated to the site in Owatonna, which substantially increases the company's operating space from 54000 square feet to 96000 square feet. hopes to break ground on the new facility next month and plans to be moved in by the spring of 2021."/>
    <s v="Office (Non-HQ); Manufacturing"/>
    <m/>
    <m/>
    <x v="0"/>
    <n v="42000"/>
    <x v="22"/>
    <x v="1"/>
    <s v="https://www.minimizer.com/blog/2019/09/04/minimizer-announces-plan-to-build-new-one-hundred-thousand-square-foot-facility-in-owatonna/"/>
    <s v="Other"/>
    <m/>
    <n v="55060"/>
    <n v="44.047612999999998"/>
    <n v="-93.223724000000004"/>
    <m/>
    <m/>
    <m/>
    <m/>
    <s v="Minimizer"/>
    <s v="Blooming Prairie"/>
    <s v="MN"/>
    <m/>
    <s v="South"/>
    <x v="1"/>
  </r>
  <r>
    <x v="6"/>
    <d v="2019-09-09T00:00:00"/>
    <x v="11"/>
    <s v="Mountain Iron"/>
    <s v="St Louis"/>
    <s v="MN"/>
    <s v="Heliene Inc., a Canadian maker of solar panels that a year ago opened a plant in Mountain Iron, is seeking funding to add automation and workers to the facility. The Post-Bulletin reports on the effort by Heliene, which is seeking $600,000 from the Dept of Iron Range Resources and Rehabilitation and another $300,000 from MN DEED The funding will go toward upgrading the ventilation system at a key part of the production process, speeding up production and leading to 15 additional jobs."/>
    <s v="MF"/>
    <m/>
    <n v="15"/>
    <x v="0"/>
    <m/>
    <x v="7"/>
    <x v="1"/>
    <s v="https://www.bizjournals.com/twincities/news/2019/09/09/heliene-seeks-state-loan-to-expand-solar-panel.html"/>
    <s v="MSP Business Journal"/>
    <s v="8787 Silicon Way"/>
    <n v="55768"/>
    <n v="47.521563"/>
    <n v="-92.606620000000007"/>
    <m/>
    <m/>
    <m/>
    <s v="y"/>
    <s v="Heliene"/>
    <s v="Sault Ste Marie"/>
    <s v="ON"/>
    <s v="CANADA"/>
    <s v="North"/>
    <x v="1"/>
  </r>
  <r>
    <x v="6"/>
    <d v="2019-09-10T00:00:00"/>
    <x v="347"/>
    <s v="Rochester"/>
    <s v="Olmsted"/>
    <s v="MN"/>
    <s v="Mayo Clinic and Google announced a partnership to develop ways for cloud computing, data analytics, machine learning and artificial intelligence to improve health care. The agreement is a key part Mayo's new CEO's plan to position the Rochester-based health care system as a platform that connects seriously ill patients with the best treatments. Financial terms were not disclosed. As part of the 10-year agreement, Google will open an office in Rochester that's staffed with Google engineers."/>
    <s v="Office (Non-HQ); Research &amp; Dev"/>
    <m/>
    <m/>
    <x v="0"/>
    <m/>
    <x v="29"/>
    <x v="9"/>
    <s v="http://www.startribune.com/mayo-clinic-picks-google-for-data-storage-as-firms-announce-broader-partnership/559929972/"/>
    <s v="Star Tribune"/>
    <m/>
    <n v="55901"/>
    <n v="44.075285000000001"/>
    <n v="-92.516915999999995"/>
    <m/>
    <m/>
    <m/>
    <m/>
    <s v="Google"/>
    <s v="Mountain View"/>
    <s v="CA"/>
    <m/>
    <s v="South"/>
    <x v="1"/>
  </r>
  <r>
    <x v="6"/>
    <d v="2019-09-11T00:00:00"/>
    <x v="348"/>
    <s v="Edina"/>
    <s v="Hennepin"/>
    <s v="MN"/>
    <s v="Cassia Life paid $3.55 million for the former 37,302-square-foot Honeywell office located in the southwest quadrant of Highway 100 and 70th Street West. Cassia completed about $3.5 million in renovations and repair before relocating the approximately 140 employees from its two headquarters to the Edina office."/>
    <s v="Headquarters"/>
    <n v="7050000"/>
    <m/>
    <x v="0"/>
    <n v="37300"/>
    <x v="0"/>
    <x v="0"/>
    <s v="https://finance-commerce.com/2019/09/just-sold-volunteers-of-america-acquires-larger-office/"/>
    <s v="Finance &amp; Commerce"/>
    <s v="7171 Ohms Lane"/>
    <n v="55439"/>
    <n v="44.872954"/>
    <n v="-93.354772999999994"/>
    <m/>
    <m/>
    <m/>
    <m/>
    <m/>
    <m/>
    <m/>
    <m/>
    <s v="Metro"/>
    <x v="1"/>
  </r>
  <r>
    <x v="6"/>
    <d v="2019-09-11T00:00:00"/>
    <x v="349"/>
    <s v="Eden Prairie"/>
    <s v="Hennepin"/>
    <s v="MN"/>
    <s v="Volunteers of America National Services plans to move its offices Thursday from its longtime 10,000-square-foot office at 7530 Market Place Drive in Eden Prairie to a 15,000-square-foot space it has acquired at 7485 Office Ridge Circle in Eden Prairie. &quot;The new building provides much-needed space to accommodate Volunteers of America National Services' growing team and comes with a host of amenities, which will also help drive innovation and encourage collaboration and employee satisfaction.&quot;"/>
    <s v="Office (Non-HQ)"/>
    <m/>
    <m/>
    <x v="0"/>
    <n v="5000"/>
    <x v="12"/>
    <x v="5"/>
    <s v="https://finance-commerce.com/2019/09/just-sold-volunteers-of-america-acquires-larger-office/"/>
    <s v="Finance &amp; Commerce"/>
    <s v="7485 Office Ridge Circle"/>
    <n v="55344"/>
    <n v="44.868481000000003"/>
    <n v="-93.426793000000004"/>
    <m/>
    <m/>
    <m/>
    <m/>
    <s v="Volunteers of America"/>
    <s v="Edina"/>
    <s v="MN"/>
    <m/>
    <s v="Metro"/>
    <x v="1"/>
  </r>
  <r>
    <x v="6"/>
    <d v="2019-09-12T00:00:00"/>
    <x v="350"/>
    <s v="Minneapolis"/>
    <s v="Hennepin"/>
    <s v="MN"/>
    <s v="Later this year about 285 US Bancorp employees will move to a re-­designed space of 55,000 SF on the 10th floor of the 58-story Capella Tower at 225 S. Sixth St. Most of those 285 employees are part of the bank's data and analytics team, while others are from adjacent functions such as marketing technology, data governance and risk modeling."/>
    <s v="Office (Non-HQ)"/>
    <m/>
    <m/>
    <x v="0"/>
    <m/>
    <x v="0"/>
    <x v="6"/>
    <s v="http://www.startribune.com/nearly-300-us-bancorp-workers-to-move-to-capella-tower/560065742/"/>
    <s v="Star Tribune"/>
    <s v="225 S Sixth St"/>
    <n v="55433"/>
    <n v="45.189349999999997"/>
    <n v="-93.365716000000006"/>
    <m/>
    <m/>
    <m/>
    <m/>
    <s v="US Bancorp"/>
    <s v="Minneapolis"/>
    <s v="MN"/>
    <m/>
    <s v="Metro"/>
    <x v="1"/>
  </r>
  <r>
    <x v="6"/>
    <d v="2019-09-16T00:00:00"/>
    <x v="351"/>
    <s v="Buffalo"/>
    <s v="Wright"/>
    <s v="MN"/>
    <s v="Whirltronics proposes to add an additional 20,000 square feet production area to their lawn-mower blade manufacturing company at 208 Centennial Drive. They have applied for a modification of the existing TIF district to add the additional parcel that they have acquired from the adjoining property owner. HRA approved TIF modification. Seeking other public grant sources in addition to TIF. Developer begins construction to be completed in 2019. DEED awarded $139,422 from Job Creation Fund."/>
    <s v="Headquarters; Office (Non-HQ); Manufacturing"/>
    <n v="3888448"/>
    <n v="10"/>
    <x v="0"/>
    <n v="20000"/>
    <x v="27"/>
    <x v="1"/>
    <s v="https://www.ci.buffalo.mn.us/wp-content/uploads/2014/03/09.16.19-agenda-with-attachments-v1-certified.pdf"/>
    <s v="Other"/>
    <s v="208 Centennial Dr"/>
    <n v="55313"/>
    <n v="45.172358000000003"/>
    <n v="-93.855735999999993"/>
    <s v="Government Financing"/>
    <s v="JCF"/>
    <n v="139422"/>
    <m/>
    <m/>
    <m/>
    <m/>
    <m/>
    <s v="Central"/>
    <x v="1"/>
  </r>
  <r>
    <x v="6"/>
    <d v="2019-09-18T00:00:00"/>
    <x v="68"/>
    <s v="Owatonna"/>
    <s v="Steele"/>
    <s v="MN"/>
    <s v="Daikin, the Japanese-based manufacturer that also has a substantial presence in nearby Faribault, has already started work on a 150,000-square-foot warehouse adjacent to its Owatonna plant. When completed, the portion of the company's existing building used as a warehouse will be modified for more production."/>
    <s v="Office (Non-HQ); Manufacturing"/>
    <m/>
    <m/>
    <x v="0"/>
    <n v="150000"/>
    <x v="4"/>
    <x v="1"/>
    <s v="http://www.startribune.com/owatonna-picks-up-three-big-projects-including-a-costco-distribution-center/560667942/"/>
    <s v="Star Tribune"/>
    <s v="1001 21st Ave NW"/>
    <n v="55060"/>
    <n v="44.093691999999997"/>
    <n v="-93.251771000000005"/>
    <s v="Government Financing"/>
    <s v="TIF"/>
    <n v="1471017"/>
    <m/>
    <s v="Daikin Applied Americas Inc"/>
    <s v="Plymouth"/>
    <s v="MN"/>
    <m/>
    <s v="South"/>
    <x v="1"/>
  </r>
  <r>
    <x v="6"/>
    <d v="2019-09-19T00:00:00"/>
    <x v="352"/>
    <s v="Eden Prairie"/>
    <s v="Hennepin"/>
    <s v="MN"/>
    <s v="C.H. Robinson CEO Bob Biesterfeld said the company will make $1 billion in technology investments over the next five years as it builds on its leadership advantage in the third-party logistics industry. About 80% of the $1 billion investment will be assigned to innovative and new product introductions, and the remainder will be spent on infrastructure and new talent acquisitions. Company has added 200 to 250 employees so far this year to its engineering teams, mainly at its Eden Prairie HQ."/>
    <s v="Headquarters"/>
    <m/>
    <n v="250"/>
    <x v="0"/>
    <m/>
    <x v="0"/>
    <x v="3"/>
    <s v="http://www.startribune.com/eden-prairie-s-c-h-robinson-pledges-to-spend-1b-over-five-years-on-technology/560706422/"/>
    <s v="Star Tribune"/>
    <s v="14701 Charlson Rd Ste 4000"/>
    <n v="55347"/>
    <n v="44.820887999999997"/>
    <n v="-93.460605999999999"/>
    <m/>
    <m/>
    <m/>
    <m/>
    <m/>
    <m/>
    <m/>
    <m/>
    <s v="Metro"/>
    <x v="1"/>
  </r>
  <r>
    <x v="6"/>
    <d v="2019-09-19T00:00:00"/>
    <x v="353"/>
    <s v="Minnetonka"/>
    <s v="Hennepin"/>
    <s v="MN"/>
    <s v="New Perspective Senior Living, which operates 24 senior living complexes in Minnesota and elsewhere, has opened a 30,000 square-foot headquarters and staff resource center in Minnetonka. The 21-year-old company said the refurbished rental building includes a 100-seat training center, conference rooms, video production center and a fitness facility to accommodate a growing central-office staff of 50 employees and others."/>
    <s v="Headquarters"/>
    <m/>
    <m/>
    <x v="0"/>
    <m/>
    <x v="0"/>
    <x v="0"/>
    <s v="http://www.startribune.com/senior-living-developer-opens-minnetonka-headquarters/560779292/"/>
    <s v="Star Tribune"/>
    <s v="5900 Clearwater Dr. Suite 500"/>
    <s v="55343"/>
    <n v="44.896743999999998"/>
    <n v="-93.439762000000002"/>
    <m/>
    <m/>
    <m/>
    <m/>
    <m/>
    <m/>
    <m/>
    <m/>
    <s v="Metro"/>
    <x v="1"/>
  </r>
  <r>
    <x v="6"/>
    <d v="2019-09-20T00:00:00"/>
    <x v="354"/>
    <s v="Minneapolis"/>
    <s v="Hennepin"/>
    <s v="MN"/>
    <s v="Add Lewis Brisbois Bisgaard &amp; Smith to national firms opening up shop in the Twin Cities. The Los Angeles-based law firm recently announced it opened a Minneapolis office in the Wells Fargo Center with four attorneys previously from Bowman and Brooke. Michelle Gilboe will lead the Minneapolis office. The four are experienced in medical-device litigation. The firm leased 16,000 square feet in the Wells Fargo Center and has plans to add more attorneys to the office."/>
    <s v="Office (Non-HQ)"/>
    <m/>
    <m/>
    <x v="0"/>
    <n v="16000"/>
    <x v="17"/>
    <x v="4"/>
    <s v="https://www.bizjournals.com/twincities/news/2019/09/20/l-a-based-law-firm-opens-minneapolis-office-with.html"/>
    <s v="MSP Business Journal"/>
    <s v="Wells Fargo Center 90 7th St, Ste 2900"/>
    <n v="55402"/>
    <n v="44.975915000000001"/>
    <n v="-93.271825000000007"/>
    <m/>
    <m/>
    <m/>
    <m/>
    <s v="Lewis Brisbois Bisgaard Smith"/>
    <s v="Los Angeles"/>
    <s v="CA"/>
    <m/>
    <s v="Metro"/>
    <x v="1"/>
  </r>
  <r>
    <x v="6"/>
    <d v="2019-09-20T00:00:00"/>
    <x v="355"/>
    <s v="Rochester"/>
    <s v="Olmsted"/>
    <s v="MN"/>
    <s v="A Chinese pharma and biotech giant plans to open its first U.S. facility in Rochester in partnership with Mayo Clinic. WuXi Diagnostics filed a building permit in April for a $543,000 tenant space project. WuXi Diagnostics is a one-year-old joint venture between Shanghai-based New WuXi Life Science Investment Limited and Mayo Clinic. New facility will be at the new One Discovery Square complex. Unknown number of staff but some WuXi employees are already working in Rochester in a separate building. Will open by end of 2019."/>
    <s v="Office (Non-HQ); Manufacturing; Research &amp; Dev"/>
    <n v="543000"/>
    <m/>
    <x v="0"/>
    <n v="16000"/>
    <x v="11"/>
    <x v="1"/>
    <s v="https://www.bizjournals.com/twincities/news/2019/09/20/chinese-biotech-firm-partners-with-mayo-will-open.html"/>
    <s v="MSP Business Journal"/>
    <m/>
    <n v="55901"/>
    <n v="44.075285000000001"/>
    <n v="-92.516915999999995"/>
    <m/>
    <m/>
    <m/>
    <s v="y"/>
    <s v="WuXi AppTec"/>
    <s v="Shangai"/>
    <m/>
    <s v="China"/>
    <s v="South"/>
    <x v="1"/>
  </r>
  <r>
    <x v="6"/>
    <d v="2019-09-24T00:00:00"/>
    <x v="356"/>
    <s v="Minneapolis"/>
    <s v="Hennepin"/>
    <s v="MN"/>
    <s v="8x8 Inc., a San Jose, Calif.-based company that provides cloud-based collaboration tools for businesses, opened a 34,000-square-foot office in the Baker Center. The ninth-floor office currently has 40 employees, a number that 8x8 hopes to triple to at least 120. The Baker Center office will center on 8x8's business operations, including sales and legal work. Business units from the company's operations around the country are moving to Minneapolis, and staff is growing at 5/week"/>
    <s v="Office (Non-HQ)"/>
    <m/>
    <n v="120"/>
    <x v="0"/>
    <n v="34000"/>
    <x v="29"/>
    <x v="9"/>
    <s v="https://www.bizjournals.com/twincities/news/2019/09/24/a-silicon-valley-tech-company-wants-to-put-120.html"/>
    <s v="MSP Business Journal"/>
    <m/>
    <n v="55401"/>
    <n v="44.984577000000002"/>
    <n v="-93.269097000000002"/>
    <m/>
    <m/>
    <m/>
    <m/>
    <s v="8X8"/>
    <s v="San Jose"/>
    <s v="CA"/>
    <m/>
    <s v="Metro"/>
    <x v="1"/>
  </r>
  <r>
    <x v="6"/>
    <d v="2019-09-24T00:00:00"/>
    <x v="357"/>
    <s v="Ramsey"/>
    <s v="Anoka"/>
    <s v="MN"/>
    <s v="Web product converter Delta ModTech will break ground Oct. 8 on a 210,000-square-foot production and engineering building on a portion of 43 acres of industrial land. The company paid $3.51 million for the property inside the 125-acre Bunker Lake Industrial Park. The city agreed to put $972,000 in tax increment financing Delta ModTech will nearly double the 120,000 SF of space it currently occupies at its current building. About 135 employees will relocate to Ramsey next July"/>
    <s v="Manufacturing"/>
    <n v="16000000"/>
    <m/>
    <x v="0"/>
    <n v="210000"/>
    <x v="4"/>
    <x v="1"/>
    <s v="https://finance-commerce.com/2019/09/delta-modtech-to-break-ground-on-16-million-facility/"/>
    <s v="Finance &amp; Commerce"/>
    <m/>
    <n v="55303"/>
    <n v="45.261099999999999"/>
    <n v="-93.45"/>
    <s v="Government Financing"/>
    <s v="TIF"/>
    <n v="972000"/>
    <m/>
    <s v="Delta Modtech"/>
    <s v="Coon Rapids"/>
    <s v="MN"/>
    <m/>
    <s v="Metro"/>
    <x v="1"/>
  </r>
  <r>
    <x v="7"/>
    <d v="2019-10-01T00:00:00"/>
    <x v="358"/>
    <s v="Fairmont"/>
    <s v="Martin"/>
    <s v="MN"/>
    <s v="CHS Inc. announced a $100 million expansion to its soybean processing plant in Fairmont. The upgrades to operations and safety will increase production capacity of soybean crush and soybean oil. The improved product quality will further optimise the production at the CHS soybean refinery at Mankato. The plant will expand by 30% and add 30% more production capacity. Financial assistance includes property tax abatement agreements with the City of Fairmont, Martin County and the Fairmont Area School Board. Construction is underway; completion is expected by fall of 2021."/>
    <s v="Manufacturing"/>
    <n v="100000000"/>
    <m/>
    <x v="0"/>
    <m/>
    <x v="1"/>
    <x v="1"/>
    <s v="https://www.keyc.com/2019/10/01/chs-announces-expansion-plans-fairmont-soybean-processing-plant/"/>
    <m/>
    <s v="1833 130th St"/>
    <n v="56031"/>
    <n v="43.672626000000001"/>
    <n v="-94.510187999999999"/>
    <m/>
    <m/>
    <m/>
    <m/>
    <s v="CHS"/>
    <s v="Inver Grove Heights"/>
    <s v="MN"/>
    <m/>
    <s v="South"/>
    <x v="1"/>
  </r>
  <r>
    <x v="7"/>
    <d v="2019-10-01T00:00:00"/>
    <x v="359"/>
    <s v="St Paul"/>
    <s v="Ramsey"/>
    <s v="MN"/>
    <s v="Infor rebranded the 13-story downtown office building from Lawson Commons to Infor Commons, the latest sign it was reaffirming (its) commitment to the Twin Cities. The New York-based business software developer plans to hire 100 additional employees to its 650-person workforce in downtown St. Paul."/>
    <m/>
    <m/>
    <n v="100"/>
    <x v="0"/>
    <m/>
    <x v="3"/>
    <x v="4"/>
    <s v="https://www.twincities.com/2019/10/01/downtown-st-pauls-lawson-commons-is-now-infor-commons-as-infor-plans-to-hire-100-more-employees/"/>
    <s v="Pioneer Press"/>
    <s v="380 Saint Peter St"/>
    <n v="55102"/>
    <n v="44.945642999999997"/>
    <n v="-93.095778999999993"/>
    <m/>
    <m/>
    <m/>
    <m/>
    <s v="Info"/>
    <s v="New York"/>
    <s v="NY"/>
    <m/>
    <s v="Metro"/>
    <x v="1"/>
  </r>
  <r>
    <x v="7"/>
    <d v="2019-10-07T00:00:00"/>
    <x v="360"/>
    <s v="Plymouth"/>
    <s v="Hennepin"/>
    <s v="MN"/>
    <s v="CEO Wendi Breuer of SeaChange Print Innovations watched as a crew delivered a $2 million HP inkjet press. It is the latest investment at a Plymouth-based company that sprung from the ashes of a failed printer at the same location 5 years ago. The high-speed, flexible-printing machine cuts waste and pollution and is the capstone of a $10 million investment by Breuer and the investors who bought the assets of the former company. Revenue grew from $9 million in 2014 to $21 million in 2018."/>
    <s v="Headquarters; Manufacturing"/>
    <n v="10000000"/>
    <m/>
    <x v="0"/>
    <m/>
    <x v="13"/>
    <x v="1"/>
    <s v="http://www.startribune.com/after-10m-investment-plymouth-printing-company-s-revenue-more-than-doubles/562225022/"/>
    <s v="Star Tribune"/>
    <s v="14505 27th Ave N"/>
    <n v="55447"/>
    <n v="45.008408000000003"/>
    <n v="-93.464080999999993"/>
    <m/>
    <m/>
    <m/>
    <m/>
    <m/>
    <m/>
    <m/>
    <m/>
    <s v="Metro"/>
    <x v="1"/>
  </r>
  <r>
    <x v="7"/>
    <d v="2019-10-08T00:00:00"/>
    <x v="361"/>
    <s v="Minneapolis"/>
    <s v="Hennepin"/>
    <s v="MN"/>
    <s v="Local company GoKart Labs has been acquired by Chicago-based West Monroe Partners, a move that will likely mean the end of the GoKart brand. GoKart describes itself as a &quot;digital product studio, consultancy and ventures lab.&quot; West Monroe is a more traditional consultancy with expertise in technology. West Monroe is looking for a larger space in Minneapolis' downtown or North Loop neighborhoods. Washington D.C. office will close. With acquisition, West Monroe will have 150 employees in MN, plans to double staff."/>
    <m/>
    <m/>
    <n v="150"/>
    <x v="0"/>
    <m/>
    <x v="21"/>
    <x v="4"/>
    <s v="https://www.bizjournals.com/twincities/news/2019/10/08/minneapolis-based-gokart-labs-acquired-brand-will.html"/>
    <s v="MSP Business Journal"/>
    <s v="110 North 5th St Ste 520"/>
    <n v="55404"/>
    <n v="44.962843999999997"/>
    <n v="-93.276182000000006"/>
    <m/>
    <m/>
    <m/>
    <m/>
    <s v="West Monroe Partners"/>
    <s v="Minneapolis"/>
    <s v="MN"/>
    <m/>
    <s v="Metro"/>
    <x v="1"/>
  </r>
  <r>
    <x v="7"/>
    <d v="2019-10-16T00:00:00"/>
    <x v="362"/>
    <s v="White Bear Township"/>
    <s v="Ramsey"/>
    <s v="MN"/>
    <s v="Scannell Properties projects include a 121,000-square-foot expansion of Specialty Manufacturing Cos.' two-building, 206,450-square-foot campus at 5858 and 5800 Centerville Road. That project is currently underway, said Township Planner Tom Riedesel.. From White Bear Township Meeting Minutes: SMC is proposing to construct an additional light industrial building on their property."/>
    <s v="Headquarters; Manufacturing"/>
    <m/>
    <m/>
    <x v="0"/>
    <n v="121000"/>
    <x v="27"/>
    <x v="1"/>
    <s v="http://www.ci.white-bear-township.mn.us/DocumentCenter/View/1663/Variance-Board-Meeting-of--September-23-2019-PDF "/>
    <s v="Other"/>
    <s v="5858 Centerville Rd"/>
    <n v="55127"/>
    <n v="45.116875"/>
    <n v="-93.054755"/>
    <m/>
    <m/>
    <m/>
    <m/>
    <m/>
    <m/>
    <m/>
    <m/>
    <s v="Metro"/>
    <x v="1"/>
  </r>
  <r>
    <x v="7"/>
    <d v="2019-10-24T00:00:00"/>
    <x v="363"/>
    <s v="St Louis Park"/>
    <s v="Hennepin"/>
    <s v="MN"/>
    <s v="Total Expert Inc., a St. Louis Park-based fintech company, has announced a $52 million fundraising round. The round was led by Georgian Partners, a Toronto, Canada-based VC firm that specializes in software companies. Total Expert collects data for its clients to help them get and keep customers. The company plans to add 100 employees in the next 12 months to the 212 it already has."/>
    <s v="Headquarters"/>
    <m/>
    <n v="100"/>
    <x v="0"/>
    <m/>
    <x v="3"/>
    <x v="4"/>
    <s v="https://www.bizjournals.com/twincities/news/2019/10/24/total-expert-lands-52m-states-biggest-software-vc.html"/>
    <s v="MSP Business Journal"/>
    <s v="1600 Utica Ave S"/>
    <n v="55416"/>
    <n v="44.966161999999997"/>
    <n v="-93.345726999999997"/>
    <s v="Equity Financing"/>
    <m/>
    <m/>
    <s v="y"/>
    <m/>
    <m/>
    <m/>
    <m/>
    <s v="Metro"/>
    <x v="1"/>
  </r>
  <r>
    <x v="7"/>
    <d v="2019-10-28T00:00:00"/>
    <x v="364"/>
    <s v="St Paul"/>
    <s v="Ramsey"/>
    <s v="MN"/>
    <s v="Bio-Techne Corp., a Minneapolis-based company, creates products for medical research and development. Announced it will spend $50 million to build out a new 60,000 square foot facility. Bulk of the cost will come from outfitting the facility to manufacture a type of protein used in cell therapy. Bio-Techne currently makes protein at its Minneapolis HQ for testing, rather than clinic production. Will have 20 employees to start, eventually 100 jobs. Opened Sept 2020."/>
    <s v="Manufacturing; Research &amp; Dev"/>
    <n v="50000000"/>
    <n v="100"/>
    <x v="0"/>
    <n v="60000"/>
    <x v="11"/>
    <x v="1"/>
    <s v="https://www.bizjournals.com/twincities/news/2019/10/28/bio-techne-will-open-40m-facility-in-st-paul.html"/>
    <s v="MSP Business Journal"/>
    <s v="22 Empire Dr"/>
    <n v="55103"/>
    <n v="44.961604999999999"/>
    <n v="-93.099856000000003"/>
    <m/>
    <m/>
    <m/>
    <m/>
    <s v="Bio-Techne"/>
    <s v="Minneapolis"/>
    <s v="MN"/>
    <m/>
    <s v="Metro"/>
    <x v="1"/>
  </r>
  <r>
    <x v="7"/>
    <d v="2019-10-28T00:00:00"/>
    <x v="365"/>
    <s v="Benton Township"/>
    <s v="Carver"/>
    <s v="MN"/>
    <s v="The Twin Cities needs high-quality crushed rock to improve its network of roads and bridges. Pattison Sand Co. plans to break ground this fall on a new $2.8 million rail facility and industrial park in Benton Township, in Carver County, that will receive trainloads of crushed rock and other aggregates from the company's 750-acre quarry in northern Iowa. Pattison will use only a portion of the industrial park site for distribution and make the other half available to other businesses"/>
    <s v="Manufacturing"/>
    <n v="2800000"/>
    <m/>
    <x v="0"/>
    <m/>
    <x v="6"/>
    <x v="1"/>
    <s v="https://finance-commerce.com/2019/10/carver-county-aggregate-distribution-facility-pitched/"/>
    <s v="Finance &amp; Commerce"/>
    <m/>
    <n v="55322"/>
    <n v="44.768900000000002"/>
    <n v="-93.780600000000007"/>
    <m/>
    <m/>
    <m/>
    <m/>
    <s v="Pattison Sand Company"/>
    <s v="Clayton"/>
    <s v="IA"/>
    <m/>
    <s v="Metro"/>
    <x v="1"/>
  </r>
  <r>
    <x v="7"/>
    <d v="2019-11-01T00:00:00"/>
    <x v="366"/>
    <s v="Fairmont"/>
    <s v="Martin"/>
    <s v="MN"/>
    <s v="Cemstone is expanding and plan to add 17 jobs to its current workforce of 11 in Fairmont. In connection to Cemstone's expansion, Fairmont received a DEED Business Development Public Infrastructure (BDPI) grant of $434,075 to assist with water and sewer lines and a street in a new 37 acre industrial park, which also supports the Cemstone expansion."/>
    <s v="Office (Non-HQ)"/>
    <m/>
    <n v="17"/>
    <x v="0"/>
    <m/>
    <x v="0"/>
    <x v="11"/>
    <s v="https://mn.gov/deed/newscenter/press-releases/?id=410709#/detail/appId/1/id/409143"/>
    <s v="MN DEED"/>
    <s v="828 E 4th St"/>
    <n v="56031"/>
    <n v="43.655625999999998"/>
    <n v="-94.451246999999995"/>
    <s v="Government Financing"/>
    <s v="BDPI"/>
    <n v="434075"/>
    <m/>
    <m/>
    <s v="Mendota Heights"/>
    <s v="MN"/>
    <m/>
    <s v="South"/>
    <x v="1"/>
  </r>
  <r>
    <x v="7"/>
    <d v="2019-11-01T00:00:00"/>
    <x v="367"/>
    <s v="Bagley"/>
    <s v="Clearwater"/>
    <s v="MN"/>
    <s v="Team Industries to invest $5 million on an expansion that will add 20 employees. In connection to Team's expansion, Bagley was awarded a DEED Business Development Public Infrastructure (BDPI) grant of $211,850 to assist with the construction of water and sewer main extensions in an industrial park."/>
    <s v="Headquarters; Manufacturing"/>
    <n v="5000000"/>
    <n v="20"/>
    <x v="0"/>
    <m/>
    <x v="22"/>
    <x v="1"/>
    <s v="https://www.bemidjipioneer.com/news/4750966-Bagley-receives-infrastructure-grant"/>
    <s v="Bemidji Pioneer"/>
    <s v="105 Park Ave NW"/>
    <n v="56621"/>
    <n v="47.522765999999997"/>
    <n v="-95.423227999999995"/>
    <s v="Government Financing"/>
    <s v="BDPI"/>
    <n v="211850"/>
    <m/>
    <m/>
    <m/>
    <m/>
    <m/>
    <s v="Central"/>
    <x v="1"/>
  </r>
  <r>
    <x v="7"/>
    <d v="2019-11-04T00:00:00"/>
    <x v="368"/>
    <s v="Duluth"/>
    <s v="St Louis"/>
    <s v="MN"/>
    <s v="Maurices is looking to increase its online presence by creating several new information technology jobs. The 20 new positions ' a number that will likely grow ' will all be based at the retailer's Duluth headquarters. The expansion of Maurices' IT arm comes as London-based private equity firm OpCapita purchased the company earlier this year for $300 million,"/>
    <s v="Headquarters"/>
    <m/>
    <n v="20"/>
    <x v="0"/>
    <m/>
    <x v="0"/>
    <x v="8"/>
    <s v="https://www.duluthnewstribune.com/business/retail/4755006-Maurices-creating-new-IT-positions-to-expand-online-presence"/>
    <s v="Duluth News Tribune"/>
    <s v="425 W Superior St"/>
    <n v="55802"/>
    <n v="46.782836000000003"/>
    <n v="-92.104150000000004"/>
    <m/>
    <m/>
    <m/>
    <s v="y"/>
    <s v="OpCapita"/>
    <s v="London"/>
    <m/>
    <s v="United Kingdom"/>
    <s v="North"/>
    <x v="1"/>
  </r>
  <r>
    <x v="7"/>
    <d v="2019-11-05T00:00:00"/>
    <x v="369"/>
    <s v="St. Cloud"/>
    <s v="Sherburne"/>
    <s v="MN"/>
    <s v="St. Cloud State University (SCSU) will partner with Essilor subject matter experts to customize a training program that will be delivered to 712 employees (80 new). The MJSP grant is valued at $350,000. Training will increase the knowledge and skills of Essilor's employees resulting in increased job satisfaction, retention and opportunities for advancement. Essilor manufactures optical supplies."/>
    <s v="Headquarters; Manufacturing"/>
    <m/>
    <n v="80"/>
    <x v="0"/>
    <m/>
    <x v="11"/>
    <x v="1"/>
    <s v="https://mn.gov/deed/newscenter/press-releases/#/detail/appId/1/id/409350"/>
    <s v="MN DEED"/>
    <s v="6925 Saukview Dr"/>
    <n v="56303"/>
    <n v="45.559269999999998"/>
    <n v="-94.249661000000003"/>
    <s v="Government Financing"/>
    <s v="MJSP"/>
    <n v="350000"/>
    <m/>
    <m/>
    <m/>
    <m/>
    <m/>
    <s v="Central"/>
    <x v="1"/>
  </r>
  <r>
    <x v="7"/>
    <d v="2019-11-05T00:00:00"/>
    <x v="370"/>
    <s v="St. Cloud"/>
    <s v="Sherburne"/>
    <s v="MN"/>
    <s v="Microbiologics is expanding their facility in 2020 and will streamline their processes and procedures with a cohesive, company-wide training program. In collaboration with Microbiologics, St. Cloud State University (SCSU) will coordinate and provide customized training for 195 employees (60 of them new) that is developed and delivered to fill gaps in knowledge and/or skills and provide the tools to remain competitive."/>
    <s v="Headquarters; Manufacturing; Research &amp; Dev"/>
    <m/>
    <n v="60"/>
    <x v="0"/>
    <m/>
    <x v="28"/>
    <x v="1"/>
    <s v="https://mn.gov/deed/newscenter/press-releases/#/detail/appId/1/id/409350"/>
    <s v="MN DEED"/>
    <s v="200 Cooper Ave N"/>
    <n v="56303"/>
    <n v="45.557330999999998"/>
    <n v="-94.177407000000002"/>
    <s v="Government Financing"/>
    <s v="MJSP"/>
    <m/>
    <m/>
    <m/>
    <m/>
    <m/>
    <m/>
    <s v="Central"/>
    <x v="1"/>
  </r>
  <r>
    <x v="7"/>
    <d v="2019-11-05T00:00:00"/>
    <x v="371"/>
    <s v="Plymouth"/>
    <s v="Hennepin"/>
    <s v="MN"/>
    <s v="One of the latest entries [to Plymouth] is Philips Healthcare, which moved into a renovated manufacturing facility in the second half of this year. It bought a former Boston Scientific building for $11 million. Parr says Philips consolidated three subsidiaries at the new location, including two from outside Minnesota."/>
    <s v="Manufacturing"/>
    <m/>
    <m/>
    <x v="0"/>
    <m/>
    <x v="4"/>
    <x v="1"/>
    <s v="http://tcbmag.com/news/articles/2019/november/plymouth-med-tech-mecca"/>
    <s v="Twin Cities Business"/>
    <s v="5905 Nathan Lane N"/>
    <n v="55442"/>
    <n v="45.058950000000003"/>
    <n v="-93.411677999999995"/>
    <m/>
    <m/>
    <m/>
    <s v="y"/>
    <s v="Royal Philips"/>
    <s v="Eindhoven"/>
    <m/>
    <s v="Netherlands"/>
    <s v="Metro"/>
    <x v="1"/>
  </r>
  <r>
    <x v="7"/>
    <d v="2019-11-08T00:00:00"/>
    <x v="372"/>
    <s v="Owatonna"/>
    <s v="Steele"/>
    <s v="MN"/>
    <s v="Rise Modular, a Minneapolis startup company focused on creating modular components that can be assembled into hotels and apartments, has hit a milestone in its journey from concept to construction. The company closed Oct. 31 on the $9.5 million acquisition of a vacant 141,289-square-foot industrial building on 34 acres at 2355 Lemond Road in Owatonna. Plan to hire about 100 workers on board and ramps up production in early 2020. Renovations will cost several million dollars."/>
    <s v="Manufacturing"/>
    <n v="9500000"/>
    <n v="100"/>
    <x v="0"/>
    <n v="141289"/>
    <x v="0"/>
    <x v="11"/>
    <s v="https://finance-commerce.com/2019/11/just-sold-rise-modular-closes-on-owatonna-plant/"/>
    <s v="Finance &amp; Commerce"/>
    <s v="2355 Lemond Rd"/>
    <n v="55060"/>
    <n v="44.068030999999998"/>
    <n v="-93.254171999999997"/>
    <m/>
    <m/>
    <m/>
    <m/>
    <s v="Rise Modular"/>
    <s v="Minneapolis"/>
    <s v="MN"/>
    <m/>
    <s v="South"/>
    <x v="1"/>
  </r>
  <r>
    <x v="7"/>
    <d v="2019-11-11T00:00:00"/>
    <x v="373"/>
    <s v="Lakeville"/>
    <s v="Dakota"/>
    <s v="MN"/>
    <s v="An 18-year-old Lakeville company has hit two milestones: finding a new owner with the capital to help it grow and four times more space in a facility just a mile from its current location at 21630 Hanover Ave. ShopSabre, operating as Numerically Automated Cutting Systems LLC, closed Sept. 27 on the $5.8 million acquisition of a 100,149-square-foot industrial building at 21673 Cedar Ave. in Lakeville. The building is four times larger than the company's current location in leased space."/>
    <s v="Headquarters; Manufacturing"/>
    <n v="5800000"/>
    <m/>
    <x v="0"/>
    <n v="75000"/>
    <x v="4"/>
    <x v="1"/>
    <s v="https://finance-commerce.com/2019/10/just-sold-lakeville-manufacturer-finds-new-owner-bigger-building/"/>
    <s v="Finance &amp; Commerce"/>
    <s v="21673 Cedar Ave"/>
    <n v="55044"/>
    <n v="44.635733000000002"/>
    <n v="-93.217464000000007"/>
    <m/>
    <m/>
    <m/>
    <m/>
    <m/>
    <m/>
    <m/>
    <m/>
    <s v="Metro"/>
    <x v="1"/>
  </r>
  <r>
    <x v="7"/>
    <d v="2019-11-14T00:00:00"/>
    <x v="71"/>
    <s v="Litchfield"/>
    <s v="Meeker"/>
    <s v="MN"/>
    <s v="The Bobcat manufacturing plant in Litchfield is getting a $26 million expansion that will triple the physical size of the facility and triple the workforce, from the current 100 to an expected 300 full-time employees. When completed in Sept 2020, the facility will be expanded from 60,000 square feet to nearly 200,000 square feet, which will more than triple the size of the current footprint. Construction is underway. The investment will modernize the existing production facility."/>
    <s v="Manufacturing"/>
    <n v="26000000"/>
    <n v="200"/>
    <x v="0"/>
    <n v="140000"/>
    <x v="4"/>
    <x v="1"/>
    <s v="https://www.twincities.com/2019/11/14/bobcat-announces-26m-expansion-for-minnesota-plant/"/>
    <s v="Pioneer Press"/>
    <s v="520 Polydome Dr"/>
    <n v="55355"/>
    <n v="45.122737000000001"/>
    <n v="-94.529860999999997"/>
    <m/>
    <m/>
    <m/>
    <m/>
    <s v="Doosan Bobcat"/>
    <s v="West Fargo"/>
    <s v="ND"/>
    <m/>
    <s v="Central"/>
    <x v="1"/>
  </r>
  <r>
    <x v="7"/>
    <d v="2019-11-27T00:00:00"/>
    <x v="374"/>
    <s v="Le Center"/>
    <s v="Le Sueur"/>
    <s v="MN"/>
    <s v="Candy and gourmet foods maker Maud Borup Inc. will begin construction next month on a $5.5 million, 65,000-square-foot expansion of its Le Center manufacturing plant and warehouse. When completed next summer, the plant will add another 30 jobs, including some professional chocolatiers, bringing its total workforce to 150. The building addition and equipment in LeCenter will cost about $5.5 million."/>
    <m/>
    <n v="5500000"/>
    <n v="30"/>
    <x v="0"/>
    <n v="65000"/>
    <x v="0"/>
    <x v="10"/>
    <s v="https://www.bizjournals.com/twincities/news/2019/11/27/maud-borup-will-expand-minnesota-candy-factory.html"/>
    <s v="MSP Business Journal"/>
    <s v="435 W Industrial St"/>
    <n v="56057"/>
    <n v="44.381535999999997"/>
    <n v="-93.740461999999994"/>
    <m/>
    <m/>
    <m/>
    <m/>
    <m/>
    <s v="Plymouth"/>
    <s v="MN"/>
    <m/>
    <s v="South"/>
    <x v="1"/>
  </r>
  <r>
    <x v="7"/>
    <d v="2019-11-29T00:00:00"/>
    <x v="375"/>
    <s v="Shakopee"/>
    <s v="Scott"/>
    <s v="MN"/>
    <s v="St. Francis Regional Medical Center in Shakopee is spending about $25 million to expand and renovate the hospital's emergency room and cancer center. The project will renovate 15,000 existing square feet, with another 15,000 square feet of new construction added to the hospital. The projects are expected to begin in 2020 and to be completed by fall 2021. (Revised investment $ in 1/2020 from Orig. Announcement 11/2019)"/>
    <s v="Headquarters; Healthcare Facility"/>
    <n v="25000000"/>
    <m/>
    <x v="0"/>
    <n v="15000"/>
    <x v="0"/>
    <x v="0"/>
    <s v="https://www.bizjournals.com/twincities/news/2020/01/31/shakopee-hospital-to-get-25-million-facelift.html"/>
    <s v="Star Tribune"/>
    <s v="1455 Saint Francis Ave"/>
    <n v="55379"/>
    <n v="44.772181000000003"/>
    <n v="-93.503124999999997"/>
    <m/>
    <m/>
    <m/>
    <m/>
    <s v="Allina Health System"/>
    <s v="Minneapolis"/>
    <s v="MN"/>
    <m/>
    <s v="Metro"/>
    <x v="1"/>
  </r>
  <r>
    <x v="7"/>
    <d v="2019-12-01T00:00:00"/>
    <x v="376"/>
    <s v="Brooklyn Park"/>
    <s v="Hennepin"/>
    <s v="MN"/>
    <s v="4/2019: Steinwall sold its 65,274-square-foot office warehouse at 9224 73rd Ave. N., Brooklyn Park for $3.7 million to Nystrom, a specialty building products distributor next door._x000a_12/2019: this month Nystrom will christen a $5.5 million expansion (i.e. $3.8 million in renovations, build out) next door to its flagship facility, allowing it to relocate about 40 workers, who labored in a leased facility several miles away, to what is now a 100,000-plus-square-foot Nystrom campus."/>
    <s v="Headquarters; Office (Non-HQ); Manufacturing"/>
    <n v="5500000"/>
    <m/>
    <x v="0"/>
    <n v="65274"/>
    <x v="27"/>
    <x v="1"/>
    <s v="http://www.startribune.com/female-ceo-leads-minnesota-building-products-maker-to-campus-expansion/565623832/"/>
    <s v="Star Tribune. Finance &amp; Commerce"/>
    <s v="9300 73rd Ave N"/>
    <n v="55428"/>
    <n v="45.088189999999997"/>
    <n v="-93.399432000000004"/>
    <m/>
    <m/>
    <m/>
    <m/>
    <m/>
    <m/>
    <m/>
    <m/>
    <s v="Metro"/>
    <x v="1"/>
  </r>
  <r>
    <x v="7"/>
    <d v="2019-12-04T00:00:00"/>
    <x v="377"/>
    <s v="Pipestone"/>
    <s v="Pipestone"/>
    <s v="MN"/>
    <s v="JBS USA, the U.S. subsidiary of Brazil's JBS S.A., said Tuesday it has agreed to lease the beef processing facility with plans to later acquire it from J&amp;B Group. The deal saves more than 130 jobs in the small southwestern Minnesota town.The seller, St. Michael, Minn.-based J&amp;B, announced in September it would end production at the Pipestone plant and close it in early December. JBS plans to invest in the plant and grow its business in Pipestone."/>
    <s v="Manufacturing"/>
    <m/>
    <s v="130 retained"/>
    <x v="0"/>
    <m/>
    <x v="1"/>
    <x v="1"/>
    <s v="http://www.startribune.com/jbs-buys-nearly-shuttered-pipestone-minn-meat-plant-preserving-130-jobs/565750952/"/>
    <s v="Star Tribune"/>
    <s v="1401 Sioux Dr"/>
    <n v="56164"/>
    <n v="43.985351999999999"/>
    <n v="-96.291901999999993"/>
    <m/>
    <m/>
    <m/>
    <s v="y"/>
    <s v="JBS USA"/>
    <s v="Greeley"/>
    <s v="CO"/>
    <m/>
    <s v="South"/>
    <x v="1"/>
  </r>
  <r>
    <x v="7"/>
    <d v="2019-12-10T00:00:00"/>
    <x v="378"/>
    <s v="St. Cloud"/>
    <s v="Sherburne"/>
    <s v="MN"/>
    <s v="Central McGowan is a FANUC-authorized integrator that helps its customers incorporate robotic solutions and technologies into their operations. The company oversees, develops and designs fully-engineered specialty hard automation, robotic automation systems, and everything in between. This project will expand Central McGowan's existing 12,000-square-foot automation center at an estimated cost of $1.6 million. Job Creation Fund Award $120,000."/>
    <s v="Headquarters"/>
    <n v="1600000"/>
    <n v="8"/>
    <x v="0"/>
    <m/>
    <x v="4"/>
    <x v="1"/>
    <s v="https://mn.gov/deed/ed/about-us/news-events/press-releases/ed-press-releases.jsp?id=1045-412687"/>
    <s v="MN DEED"/>
    <s v="123 Roosevelt Rd"/>
    <n v="56301"/>
    <n v="45.550291000000001"/>
    <n v="-94.189723000000001"/>
    <s v="Government Financing"/>
    <s v="JCF"/>
    <n v="120000"/>
    <m/>
    <m/>
    <m/>
    <m/>
    <m/>
    <s v="Central"/>
    <x v="1"/>
  </r>
  <r>
    <x v="7"/>
    <d v="2019-12-10T00:00:00"/>
    <x v="379"/>
    <s v="Bloomington"/>
    <s v="Hennepin"/>
    <s v="MN"/>
    <s v="P.A. SpA is an Italian family-run company founded in 1983. The company manufactures high-pressure cleaning accessories such as spray guns, lances and valves. P.A. SpA will expand into a 65,000-square-foot building in Bloomington. The total project cost is nearly $5.5 million and it's expected to create 12 jobs within the first year at an average wage of $19.68 an hour. Job Creation Fund Award $110,619._x000a_July 2021 update: Opens in the fall"/>
    <s v="Manufacturing"/>
    <n v="5452386"/>
    <n v="12"/>
    <x v="0"/>
    <n v="65000"/>
    <x v="4"/>
    <x v="1"/>
    <s v="https://mn.gov/deed/ed/about-us/news-events/press-releases/ed-press-releases.jsp?id=1045-412687"/>
    <s v="MN DEED"/>
    <m/>
    <n v="55917"/>
    <n v="43.866630000000001"/>
    <n v="-93.051029999999997"/>
    <s v="Government Financing"/>
    <s v="JCF"/>
    <n v="110619"/>
    <s v="y"/>
    <s v="PA SpA"/>
    <s v="Rubiera"/>
    <m/>
    <s v="Italy"/>
    <s v="Metro"/>
    <x v="1"/>
  </r>
  <r>
    <x v="7"/>
    <d v="2019-12-12T00:00:00"/>
    <x v="380"/>
    <s v="Appleton"/>
    <s v="Swift"/>
    <s v="MN"/>
    <s v="JUST (Eat JUST, Inc.) announced the acquisition of a 30,000-square-foot facility and 40 acres of land in Appleton, Minnesota. The plant had been operating as Del Dee Foods. For more than a year, JUST has partnered with Del Dee to scale up JUST's protein extraction process. JUST has already invested millions of dollars in processing equipment for the site and will continue to expand its footprint in Appleton. Facility workforce has doubled to nearly 40 workers across multiple shirts throughout the week."/>
    <s v="Manufacturing"/>
    <m/>
    <m/>
    <x v="0"/>
    <m/>
    <x v="1"/>
    <x v="1"/>
    <s v="https://thepoultrysite.com/news/2019/12/just-acquires-minnesota-protein-facility-with-plans-to-expand"/>
    <s v="Other"/>
    <s v="733 N Munsterman St"/>
    <n v="56208"/>
    <n v="45.206899999999997"/>
    <n v="-96.021585999999999"/>
    <m/>
    <m/>
    <m/>
    <m/>
    <s v="JUST Inc"/>
    <s v="San Francisco"/>
    <s v="CA"/>
    <m/>
    <s v="Central"/>
    <x v="1"/>
  </r>
  <r>
    <x v="7"/>
    <d v="2019-12-16T00:00:00"/>
    <x v="381"/>
    <s v="Eden Prairie"/>
    <s v="Hennepin"/>
    <s v="MN"/>
    <s v="Investment of $7.9 million expected to create 20 new jobs. DEED award: JCF $175,000. exact nature of expansion unknown."/>
    <s v="Headquarters; Research &amp; Dev"/>
    <n v="7297324"/>
    <n v="20"/>
    <x v="0"/>
    <m/>
    <x v="9"/>
    <x v="4"/>
    <m/>
    <s v="DEED"/>
    <s v="10200 Valley View Rd #101"/>
    <n v="55344"/>
    <n v="44.871343000000003"/>
    <n v="-93.406326000000007"/>
    <s v="Government Financing"/>
    <s v="JCF"/>
    <n v="175000"/>
    <m/>
    <m/>
    <m/>
    <m/>
    <m/>
    <s v="Metro"/>
    <x v="1"/>
  </r>
  <r>
    <x v="7"/>
    <d v="2019-12-17T00:00:00"/>
    <x v="91"/>
    <s v="Eagan"/>
    <s v="Dakota"/>
    <s v="MN"/>
    <s v="In December, Sun Country announced a six-year deal with Amazon to provide a new cargo service for Amazon Air. Sun Country will add 10 airplanes to its fleet for Amazon Air, hire 70 more pilots and 20-30 staffers at HQ to support this new service."/>
    <s v="Headquarters"/>
    <m/>
    <n v="100"/>
    <x v="0"/>
    <m/>
    <x v="0"/>
    <x v="3"/>
    <s v="http://www.startribune.com/sun-country-will-start-cargo-service-with-a-big-first-customer-amazon/566286912/"/>
    <s v="MSP Business Journal"/>
    <s v="1300 Corporate Center Curve"/>
    <n v="55121"/>
    <n v="44.855744000000001"/>
    <n v="-93.161086999999995"/>
    <m/>
    <m/>
    <m/>
    <m/>
    <m/>
    <m/>
    <m/>
    <m/>
    <s v="Metro"/>
    <x v="1"/>
  </r>
  <r>
    <x v="7"/>
    <d v="2019-12-27T00:00:00"/>
    <x v="382"/>
    <s v="Brooklyn Park"/>
    <s v="Hennepin"/>
    <s v="MN"/>
    <s v="Implantable device outsourcer Cirtec Medical will build a “neuromodular center of excellence” in a manufacturing plant near its facility in Brooklyn Park, Minn. The center will be housed in an 85,000 sq. ft. building that the company leased to manufacture active implantable devices and perform clean-room assembly. The new space  expand Cirtec's engineering capabilities. Construction will begin in the first quarter of 2020, and completed in the 2nd half of 2020._x000a_DEED Update: MIF Award $800K (7/31/20)"/>
    <m/>
    <n v="2507852"/>
    <n v="200"/>
    <x v="0"/>
    <n v="85000"/>
    <x v="11"/>
    <x v="1"/>
    <s v="https://www.medicaldesignandoutsourcing.com/cirtec-medical-to-open-neuromodular-manufacturing-plant-in-minnesota/"/>
    <s v="Invt and Jobs from Kevin/DEED"/>
    <s v="9200 Xylon Ave N"/>
    <n v="55455"/>
    <n v="45.120949400000001"/>
    <n v="-93.387634500000004"/>
    <m/>
    <m/>
    <m/>
    <m/>
    <m/>
    <m/>
    <m/>
    <m/>
    <s v="Metro"/>
    <x v="1"/>
  </r>
  <r>
    <x v="8"/>
    <d v="2020-01-02T00:00:00"/>
    <x v="383"/>
    <s v="Minnetonka"/>
    <s v="Hennepin"/>
    <s v="MN"/>
    <s v="Dominium, one of the country’s largest affordable housing developers, is moving its headquarters from Plymouth to Minnetonka. Dominium, which has 200 corporate employees, will occupy half of the Crest Ridge Corporate Center. It will renovate the LEED Gold-certified building early this year and make the other half available for lease. It had outgrown its current space. The company purchased Crest Ridge Corporate Center for $18.5 million."/>
    <s v="HQ, OF"/>
    <m/>
    <m/>
    <x v="0"/>
    <m/>
    <x v="0"/>
    <x v="2"/>
    <s v="https://www.bizjournals.com/twincities/news/2020/01/02/dominium-will-relocate-to-former-syngenta-building.html"/>
    <s v="MSP Business Journal"/>
    <s v="11055 Wayzata Blvd"/>
    <n v="55305"/>
    <n v="44.968696999999999"/>
    <n v="-93.418535000000006"/>
    <m/>
    <m/>
    <m/>
    <m/>
    <m/>
    <m/>
    <m/>
    <m/>
    <s v="Metro"/>
    <x v="2"/>
  </r>
  <r>
    <x v="8"/>
    <d v="2020-01-02T00:00:00"/>
    <x v="384"/>
    <s v="Minneapolis"/>
    <s v="Hennepin"/>
    <s v="MN"/>
    <s v="Pepper Foster announced it is launching a second office in Minneapolis, headquartered at the Nordic building in the North Loop. The office will be led by longtime consulting veteran Kathleen Kelly. Pepper Foster expects to build up to between 250 and 300 employees in the next two to three years."/>
    <s v="OF"/>
    <m/>
    <n v="300"/>
    <x v="0"/>
    <m/>
    <x v="10"/>
    <x v="4"/>
    <s v="https://finance-commerce.com/2020/01/consulting-firm-chooses-minneapolis-for-2nd-office/"/>
    <s v="Finance &amp; Commerce"/>
    <s v="729 N Washington Ave"/>
    <n v="55413"/>
    <n v="44.997838999999999"/>
    <n v="-93.257377000000005"/>
    <m/>
    <m/>
    <m/>
    <m/>
    <s v="Pepper Foster Consulting"/>
    <m/>
    <s v="Oregon"/>
    <m/>
    <s v="Metro"/>
    <x v="2"/>
  </r>
  <r>
    <x v="8"/>
    <d v="2020-01-07T00:00:00"/>
    <x v="385"/>
    <s v="Bloomington"/>
    <s v="Hennepin"/>
    <s v="MN"/>
    <s v="Building Report, Minneapolis Gov for Jan 2020: obtained a building permit to &quot;add offices and service center&quot; for $360,000"/>
    <s v="Office"/>
    <n v="360000"/>
    <m/>
    <x v="0"/>
    <m/>
    <x v="4"/>
    <x v="10"/>
    <s v="https://www.bloomingtonmn.gov/bldg/permit-status-inspection-results-monthly-building-reports"/>
    <s v="January 2020 Building Permit Report, Bloomington"/>
    <s v="2000 W 94th St"/>
    <n v="55420"/>
    <n v="44.834561000000001"/>
    <n v="-93.305733000000004"/>
    <m/>
    <m/>
    <m/>
    <m/>
    <m/>
    <m/>
    <m/>
    <m/>
    <s v="Metro"/>
    <x v="2"/>
  </r>
  <r>
    <x v="8"/>
    <d v="2020-01-10T00:00:00"/>
    <x v="386"/>
    <s v="Minneapolis"/>
    <s v="Hennepin"/>
    <s v="MN"/>
    <s v="Beverage maker Earl Giles Distillery is expanding its operation into a 16,000-square-foot space in a huge industrial redevelopment in northeast Minneapolis._x000a__x000a_The distiller plans to expand from its current space in an Uptown Minneapolis commercial kitchen into a purpose-built facility at 94,355-square-foot Keller Building at 1325 Quincy Ave. NE. Earl Giles will open its new distillery/production center and eatery in the fourth quarter of 2020."/>
    <s v="MF, FD"/>
    <m/>
    <m/>
    <x v="0"/>
    <n v="16406"/>
    <x v="39"/>
    <x v="1"/>
    <s v="https://finance-commerce.com/2020/01/distiller-to-be-latest-keller-building-tenant/"/>
    <s v="Finance &amp; Commerce"/>
    <s v="1325 Quincy St NE"/>
    <n v="55413"/>
    <n v="45.001057000000003"/>
    <n v="-93.250539000000003"/>
    <m/>
    <m/>
    <m/>
    <m/>
    <m/>
    <m/>
    <m/>
    <m/>
    <s v="Metro"/>
    <x v="2"/>
  </r>
  <r>
    <x v="8"/>
    <d v="2020-01-13T00:00:00"/>
    <x v="387"/>
    <s v="Minneapolis"/>
    <s v="Hennepin"/>
    <s v="MN"/>
    <s v="Broadhead advertising agency is the Twin Cities’ largest independent ad agency. The agency plans to move its headquarters and its more than 100 employees in June, into the Internet Exchange Building at 411 N. Washington Av., a few blocks away. _x000a__x000a_Broadhead will occupy about 37,000 square feet of space on three floors, nearly double its current space, which allows the agency to consolidate its offices from two other locations"/>
    <s v="OF"/>
    <m/>
    <m/>
    <x v="0"/>
    <n v="18000"/>
    <x v="21"/>
    <x v="4"/>
    <s v="http://www.startribune.com/ad-agency-broadhead-prepares-for-growth-and-new-office-move/566890712/"/>
    <s v="Star Tribune"/>
    <s v="411 N Washington Ave"/>
    <n v="55401"/>
    <n v="44.985550000000003"/>
    <n v="-93.274319000000006"/>
    <m/>
    <m/>
    <m/>
    <m/>
    <m/>
    <m/>
    <m/>
    <m/>
    <s v="Metro"/>
    <x v="2"/>
  </r>
  <r>
    <x v="8"/>
    <d v="2020-01-13T00:00:00"/>
    <x v="388"/>
    <s v="Alexandria"/>
    <s v="Douglas"/>
    <s v="MN"/>
    <s v="Douglas Machine is planning a $4.3 million addition, with an additional 39,600 sq feet for manufacturing/warehouse and 6,600 sq feet for office space._x000a__x000a_Expansion will add 15 full-time employees within two years. Douglas Machine builds automated packaging machinery. It has 665 employees at its Alexandria facility. TIF assistance will cover $315,000 of the site development costs. Project expected to be  “substantially complete” by end of 2020."/>
    <s v="MF, WH, OF"/>
    <n v="4300000"/>
    <n v="15"/>
    <x v="0"/>
    <n v="45917"/>
    <x v="4"/>
    <x v="1"/>
    <s v="https://www.echopress.com/news/government-and-politics/4863669-Douglas-Machine-eyes-big-expansion"/>
    <s v="Also DEED"/>
    <s v="3404 Iowa St"/>
    <n v="56308"/>
    <n v="45.859214999999999"/>
    <n v="-95.401961"/>
    <s v="Government Financing"/>
    <s v="JCF ($177K), TIF ($315K)"/>
    <n v="492000"/>
    <m/>
    <m/>
    <m/>
    <m/>
    <m/>
    <s v="Central"/>
    <x v="2"/>
  </r>
  <r>
    <x v="8"/>
    <d v="2020-01-14T00:00:00"/>
    <x v="389"/>
    <s v="Wadena"/>
    <s v="Otter Tail"/>
    <s v="MN"/>
    <s v="Tri-County Health Care, a private, not-for-profit health care system paid $1.35 million for a 76-acre property at 63835 Highway 10 in Wadena. Workers are expected to break ground this summer on a plannned $70 million, 120,000-square-foot hospital, which will replace an aging 46-year-old main campus. The new hospital will serve patients in and around Otter Tail County.  The project will create 48 new jobs paying $4.4 million in wages, salaries and benefits. Tri-County currently has 364 current full-time equivalent employees."/>
    <s v="HC"/>
    <n v="70000000"/>
    <n v="48"/>
    <x v="0"/>
    <n v="120000"/>
    <x v="40"/>
    <x v="0"/>
    <s v="https://finance-commerce.com/2020/01/tri-county-acquires-land-for-70-million-hospital/"/>
    <s v="Finance &amp; Commerce"/>
    <s v="63835 Highway 10"/>
    <n v="56482"/>
    <n v="46.451236999999999"/>
    <n v="-95.157936000000007"/>
    <m/>
    <m/>
    <m/>
    <m/>
    <m/>
    <m/>
    <m/>
    <m/>
    <s v="Central"/>
    <x v="2"/>
  </r>
  <r>
    <x v="8"/>
    <d v="2020-01-16T00:00:00"/>
    <x v="390"/>
    <s v="Saint Paul"/>
    <s v="Ramsey"/>
    <s v="MN"/>
    <s v="The Coven, a Minneapolis-based coworking business that caters to women, non-binary, and trans customers, will open its second location later this month in St. Paul._x000a__x000a_Mpls.St. Paul Magazine reports on the new space at St. Paul's Blair Arcade building, which will be unveiled Jan. 28. The Coven, which launched its first coworking facility in the North Loop neighborhood in 2017, will be nearly twice as big this time with a 9,500-square-foot space. Members will be able to use either facility."/>
    <s v="OF"/>
    <m/>
    <m/>
    <x v="0"/>
    <n v="9500"/>
    <x v="41"/>
    <x v="2"/>
    <s v="https://www.bizjournals.com/twincities/news/2020/01/16/the-coven-will-expand-to-st-paul-with-new.html"/>
    <s v="MSP Business Journal"/>
    <s v="400 Selby Ave"/>
    <n v="55102"/>
    <n v="44.946241999999998"/>
    <n v="-93.117941999999999"/>
    <m/>
    <m/>
    <m/>
    <m/>
    <m/>
    <m/>
    <m/>
    <m/>
    <s v="Metro"/>
    <x v="2"/>
  </r>
  <r>
    <x v="8"/>
    <d v="2020-01-17T00:00:00"/>
    <x v="345"/>
    <s v="Bloomington"/>
    <s v="Hennepin"/>
    <s v="MN"/>
    <s v="Building Report, Minneapolis Gov for Jan 2020: 75F obtained a building permit for &quot;office remodel&quot; for $611,800"/>
    <s v="Office"/>
    <n v="611800"/>
    <m/>
    <x v="0"/>
    <m/>
    <x v="23"/>
    <x v="1"/>
    <s v="https://www.bloomingtonmn.gov/bldg/permit-status-inspection-results-monthly-building-reports"/>
    <s v="January 2020 Building Permit Report, Bloomington"/>
    <s v="1650 W 82ND ST"/>
    <n v="55431"/>
    <n v="44.855772999999999"/>
    <n v="-93.301001999999997"/>
    <m/>
    <m/>
    <m/>
    <m/>
    <m/>
    <m/>
    <m/>
    <m/>
    <s v="Metro"/>
    <x v="2"/>
  </r>
  <r>
    <x v="8"/>
    <d v="2020-01-23T00:00:00"/>
    <x v="391"/>
    <s v="Minneapolis"/>
    <s v="Hennepin"/>
    <s v="MN"/>
    <s v="Online used car dealership Carvana is growing its Minnesota presence.  Carvana has expanded to St. Cloud, Rochester, and Mankato. Carvana began offering service in St. Cloud on Tuesday, Rochester on Wednesday, and Mankato on Thursday. All Minnesota markets will be serviced from an operating site in Minneapolis. The site will be staffed by about 10 people initially."/>
    <s v="OF"/>
    <m/>
    <n v="10"/>
    <x v="0"/>
    <m/>
    <x v="0"/>
    <x v="8"/>
    <s v="http://tcbmag.com/news/articles/2020/january/online-used-car-company-carvana-sets-up-shop-in-minnesota"/>
    <s v="Twin Cities Business"/>
    <m/>
    <n v="55402"/>
    <n v="44.975915000000001"/>
    <n v="-93.271825000000007"/>
    <m/>
    <m/>
    <m/>
    <m/>
    <m/>
    <m/>
    <m/>
    <m/>
    <s v="Metro"/>
    <x v="2"/>
  </r>
  <r>
    <x v="8"/>
    <d v="2020-01-28T00:00:00"/>
    <x v="392"/>
    <s v="Mankato"/>
    <s v="Blue Earth"/>
    <s v="MN"/>
    <s v="A planned Sibley Parkway Winery is proposed for a 16-acre parcel of land near the Northstar Bridge. The city of Mankato was awarded $202,394 in Redevelopment Grant funds for demolition and infrastructure improvements on this site. Site will be redeveloped into a two-story, 7,800 square foot wine production facility with associated commercial and food sales. The project will create 18 jobs and increase the tax base by $13,862. Matching funds will be paid by developer."/>
    <m/>
    <n v="404800"/>
    <n v="18"/>
    <x v="0"/>
    <n v="7800"/>
    <x v="39"/>
    <x v="1"/>
    <s v="https://www.keyc.com/2020/01/28/mankato-city-council-approves-submission-redevelopment-grant-sibley-parkway-winery-project/"/>
    <s v="KEYC, DEED"/>
    <m/>
    <n v="56001"/>
    <n v="44.128324999999997"/>
    <n v="-93.978863000000004"/>
    <s v="Government Financing"/>
    <s v="Redevelopment Grant"/>
    <n v="202394"/>
    <m/>
    <m/>
    <m/>
    <m/>
    <m/>
    <s v="South"/>
    <x v="2"/>
  </r>
  <r>
    <x v="8"/>
    <d v="2020-01-29T00:00:00"/>
    <x v="393"/>
    <s v="Winona"/>
    <s v="Winona"/>
    <s v="MN"/>
    <s v="Alliant Castings plans to construct a 12,000-square-foot-plus new building this year on land that borders its current facility. This will add 12-15 jobs. _x000a_Before 3-D printers, a highly skilled pattern maker would make models by hand out of wood or aluminum. 3D printers made it possible to make models really fast, at prices that made small orders and custom parts more economical.._x000a_Alliant also won a $250,000 grant from DEED to help pay for a sewer and water line extension and access road improvements."/>
    <s v="MF, OF"/>
    <m/>
    <n v="15"/>
    <x v="0"/>
    <n v="12000"/>
    <x v="27"/>
    <x v="1"/>
    <s v="http://www.winonapost.com/Community-Record/Business-News/ArticleID/67825/New-tech-powers-foundry-to-add-jobs"/>
    <s v="Winona Post"/>
    <s v="1200 W 3rd St"/>
    <n v="55987"/>
    <n v="44.055689999999998"/>
    <n v="-91.668739000000002"/>
    <s v="Government Financing"/>
    <s v="BDPI?"/>
    <n v="250000"/>
    <m/>
    <m/>
    <m/>
    <m/>
    <m/>
    <s v="South"/>
    <x v="2"/>
  </r>
  <r>
    <x v="8"/>
    <d v="2020-01-30T00:00:00"/>
    <x v="394"/>
    <s v="Saint Paul"/>
    <s v="Ramsey"/>
    <s v="MN"/>
    <s v="Minnetronix Medical is planning its fourth expansion since moving to St. Paul’s Energy Park Drive in 2000. The 2020 project will increase the company’s footprint from 120,000 square feet to 140,000 square feet, with a plan to grow to 170,000 square feet by 2023. The expansion will add 75 jobs within three years at an average $25.94/hour. The project will cost $6 million._x000a__x000a_DEED awards: $500,000 award from the Job Creation Fund,  $500,000 Minnesota Investment Fund loan. "/>
    <s v="MF,HQ"/>
    <n v="6000000"/>
    <n v="75"/>
    <x v="0"/>
    <n v="50000"/>
    <x v="11"/>
    <x v="1"/>
    <s v="https://mn.gov/deed/newscenter/press-releases/?id=418027; https://finance-commerce.com/2020/01/minnetronix-to-continue-expanding-in-midway/"/>
    <s v="DEED, Finance &amp; Commerce"/>
    <s v="1635 Energy Park Dr"/>
    <n v="55108"/>
    <n v="44.972749999999998"/>
    <n v="-93.168999999999997"/>
    <s v="Government Financing"/>
    <s v="JCF ($500K), MIF ($500K)"/>
    <n v="1000000"/>
    <m/>
    <m/>
    <m/>
    <m/>
    <m/>
    <s v="Metro"/>
    <x v="2"/>
  </r>
  <r>
    <x v="8"/>
    <d v="2020-01-30T00:00:00"/>
    <x v="395"/>
    <s v="Edina"/>
    <s v="Hennepin"/>
    <s v="MN"/>
    <s v="New Spaces, a Twin Cities remodeling contractor with deep roots in Burnsville, has opened a second office in Edina._x000a__x000a_The new office, at 200 Southdale Center, caters to clients in Minneapolis, Edina, Eden Prairie and other west metro communities, according to a press release. The office complements New Spaces’ longtime showroom at 22105 West 143rd St. in Burnsville."/>
    <s v="Office"/>
    <m/>
    <m/>
    <x v="0"/>
    <m/>
    <x v="0"/>
    <x v="11"/>
    <s v="https://finance-commerce.com/2020/01/new-spaces-opens-second-metro-area-office/"/>
    <s v="Finance &amp; Commerce"/>
    <s v="10 Southdale Center"/>
    <n v="55435"/>
    <n v="44.882992999999999"/>
    <n v="-93.321808000000004"/>
    <m/>
    <m/>
    <m/>
    <m/>
    <m/>
    <m/>
    <m/>
    <m/>
    <s v="Metro"/>
    <x v="2"/>
  </r>
  <r>
    <x v="8"/>
    <d v="2020-01-30T00:00:00"/>
    <x v="396"/>
    <s v="Eden Prairie"/>
    <s v="Hennepin"/>
    <s v="MN"/>
    <s v="Photo-services giant Shutterfly will relocate up to 100 marketing jobs from California to its Lifetouch subsidiary in Eden Prairie by the summer. Nearly 700 employees now work at Lifetouch’s Eden Prairie headquarters. No state or city assistance was received for this relocation. The building will not need further construction but will be renovated. The move expands Shutterfly’s commitment to the Twin Cities. The company also has a large manufacturing center in Shakopee."/>
    <m/>
    <m/>
    <n v="100"/>
    <x v="0"/>
    <m/>
    <x v="42"/>
    <x v="1"/>
    <s v="http://www.startribune.com/shutterfly-to-move-up-to-100-jobs-from-california-to-eden-prairie/567407072/"/>
    <s v="Star Tribune"/>
    <s v="11000 Viking Dr"/>
    <n v="55344"/>
    <n v="44.861035000000001"/>
    <n v="-93.415170000000003"/>
    <m/>
    <m/>
    <m/>
    <m/>
    <m/>
    <m/>
    <m/>
    <m/>
    <s v="Metro"/>
    <x v="2"/>
  </r>
  <r>
    <x v="8"/>
    <d v="2020-02-02T00:00:00"/>
    <x v="397"/>
    <s v="Gary"/>
    <s v="Norman"/>
    <s v="MN"/>
    <s v="Soyko is currently in the process of adding additional equipment and expanding our facility even further for quicker processing and larger handling of our products. Soyko is constructing a 3rd facility on-site.  This new 12,600 SF facility and equipment will create capacity to double production in order to meet customer demand.  The total project cost is $3.8 million and will create 12 jobs, more than doubling its workforce."/>
    <m/>
    <n v="3830000"/>
    <n v="12"/>
    <x v="0"/>
    <n v="12600"/>
    <x v="43"/>
    <x v="14"/>
    <s v="https://www.soykointernational.com/our-facility"/>
    <s v="Also DEED"/>
    <s v="2493 380th St"/>
    <n v="56545"/>
    <n v="47.367494000000001"/>
    <n v="-96.259542999999994"/>
    <s v="Government Financing"/>
    <s v="MIF"/>
    <n v="310000"/>
    <m/>
    <m/>
    <m/>
    <m/>
    <m/>
    <s v="North"/>
    <x v="2"/>
  </r>
  <r>
    <x v="8"/>
    <d v="2020-02-06T00:00:00"/>
    <x v="398"/>
    <s v="Savage"/>
    <s v="Scott"/>
    <s v="MN"/>
    <s v="Cargill Inc. is building a $6.4 million, 6,500 square feet, testing center in Savage.  The new bakery and chocolate lab will be one of Cargill's five so-called &quot;Pilot Development Centers&quot; worldwide where Cargill tests new ingredients for food products. One is in Plymouth and the others are overseas in Belgium, China and Singapore._x000a__x000a_The new facility will triple the size of Cargill’s food pilot operations in the Twin Cities. The North American PDC will be next door to a 17,300-square-foot Cargill engineering-research lab. It should open by late summer."/>
    <s v="RD"/>
    <n v="6400000"/>
    <m/>
    <x v="0"/>
    <n v="6500"/>
    <x v="1"/>
    <x v="1"/>
    <s v="https://www.bizjournals.com/twincities/news/2020/02/06/cargill-is-adding-a-chocolate-lab-in-savage.html"/>
    <s v="MSP Business Journal"/>
    <s v="12111 Lynn Ave"/>
    <n v="55378"/>
    <n v="44.779409999999999"/>
    <n v="-93.336274000000003"/>
    <m/>
    <m/>
    <m/>
    <m/>
    <m/>
    <m/>
    <m/>
    <m/>
    <s v="Metro"/>
    <x v="2"/>
  </r>
  <r>
    <x v="8"/>
    <d v="2020-02-07T00:00:00"/>
    <x v="399"/>
    <s v="Winsted"/>
    <s v="McLeod"/>
    <s v="MN"/>
    <s v="Millerbernd Manufacturing has worked with Winsted city staff since 2019 on plans to construct additional facilities. Eric Stack, president, said the expansion will add about 100 employees during the next three years, growing total employees to 550. One division: expansion will add 73 jobs, is investing $3 million, and received MIF award=$450K, JCF award=$475K (awards from May 2020). Second division: expansion will add 28 jobs, is investing $12.9 million and received MIF $475K and JCF $250K."/>
    <m/>
    <n v="14875000"/>
    <n v="101"/>
    <x v="0"/>
    <m/>
    <x v="44"/>
    <x v="1"/>
    <s v="http://herald-journal.com/archives/2020/stories/winsted-council-020420.html"/>
    <s v="Herald Journal"/>
    <s v="622 6th St S"/>
    <n v="55395"/>
    <n v="44.960237999999997"/>
    <n v="-94.053415999999999"/>
    <m/>
    <s v="MIF $475K, JCF $250K, $95,811 BDPI to Winstead"/>
    <n v="820811"/>
    <m/>
    <m/>
    <m/>
    <m/>
    <m/>
    <s v="Central"/>
    <x v="2"/>
  </r>
  <r>
    <x v="8"/>
    <d v="2020-02-13T00:00:00"/>
    <x v="400"/>
    <s v="Maple Grove"/>
    <s v="Hennepin"/>
    <s v="MN"/>
    <s v="AbelConn Electronics designs and manufactures fully-tested electronics. It is looking to relocate from New Hope in Maple Grove to create room for their expected growth. AbelConn's new site is at 8550 Zachary Lane in the Arbor Lakes Corporate Center. AbelConn plans to purchase machinery and equipment for the new headquarters. AbelConn plans to invest $13.6 million in the new HQ site and expects to create 97 jobs 2/2020 DEED awarded AbelConn $600K MIF. 7/2021: New facility opens."/>
    <s v="MF,OF, HQ"/>
    <n v="13600000"/>
    <n v="97"/>
    <x v="0"/>
    <m/>
    <x v="23"/>
    <x v="1"/>
    <s v="https://www.hometownsource.com/press_and_news/news/government/maple-grove-approves-plans-for-commercial-site-near-hy-vee/article_8bc71fe2-4dd5-11ea-86b1-832fe5dd9343.html"/>
    <s v="Also DEED"/>
    <s v="8550 Zachary Lane N"/>
    <n v="55369"/>
    <n v="45.110351999999999"/>
    <n v="-93.422068999999993"/>
    <m/>
    <s v="MIF"/>
    <n v="600000"/>
    <s v="y"/>
    <s v="Celestica (Atrenne)"/>
    <s v="Toronto"/>
    <s v="Ontario"/>
    <s v="CANADA"/>
    <s v="Metro"/>
    <x v="2"/>
  </r>
  <r>
    <x v="8"/>
    <d v="2020-02-13T00:00:00"/>
    <x v="401"/>
    <s v="Owatonna"/>
    <s v="Steele"/>
    <s v="MN"/>
    <s v="Cybex is proposing to relocate at least 75 jobs from a plant that is closing in Illinois. Cybex plans to create an additional 75 jobs. Cybex plans an estimated $3 million in capital investment. DEED awards: JCF $400,000 award. Investment will involve both building expansion (adding square feet) and equipment investments."/>
    <s v="MF,HQ"/>
    <n v="3000000"/>
    <n v="150"/>
    <x v="0"/>
    <m/>
    <x v="4"/>
    <x v="1"/>
    <s v="http://ci.owatonna.mn.us/AgendaCenter/ViewFile/Item/375?fileID=3267"/>
    <s v="City of Owatonna, Also DEED"/>
    <s v="1975 SW 24th Ave"/>
    <n v="55060"/>
    <n v="44.064531000000002"/>
    <n v="-93.254867000000004"/>
    <s v="Government Financing"/>
    <s v="JCF"/>
    <n v="400000"/>
    <m/>
    <m/>
    <m/>
    <m/>
    <m/>
    <s v="South"/>
    <x v="2"/>
  </r>
  <r>
    <x v="8"/>
    <d v="2020-02-20T00:00:00"/>
    <x v="402"/>
    <s v="Harmony"/>
    <s v="Fillmore"/>
    <s v="MN"/>
    <s v="Dairyland Power Cooperative of La Crosse Wisconsin plans to build an operations and warehousing facility in Harmony. The 23,000 square foot building would cost $5.5 million. The project would create $2.3 million in new tax base, and bring 4 new FTE jobs into Harmony. Dairyland received a $74,537 Greater Minnesota BDPI grant from DEED and a 0% interest, $84,082.50 loan from MiEnergy Cooperative to fund public infrastructure improvements."/>
    <s v="WH, MF"/>
    <n v="5500000"/>
    <n v="4"/>
    <x v="0"/>
    <n v="23000"/>
    <x v="1"/>
    <x v="1"/>
    <s v="https://www.cedausa.com/2020/02/industrial-growth-and-grants-received-in-harmony-mn-with-ceda-assistance/"/>
    <m/>
    <m/>
    <n v="55939"/>
    <n v="43.555199999999999"/>
    <n v="-92.005300000000005"/>
    <s v="Government Financing"/>
    <s v="BDPI ($74,537), low interest loan ($84,082)"/>
    <n v="158619"/>
    <m/>
    <m/>
    <m/>
    <m/>
    <m/>
    <s v="South"/>
    <x v="2"/>
  </r>
  <r>
    <x v="8"/>
    <d v="2020-02-27T00:00:00"/>
    <x v="403"/>
    <s v="Northfield"/>
    <s v="Dakota"/>
    <s v="MN"/>
    <s v="All Flex Flexible Circuits plans to invest $10.4 million for a facility expansion and investment in new equipment. The company plans on adding 14,000 SF to their existing production facility, adding $8 million of new capital equipment and 38 full time positions locally. The EDA approved the $50,000 revolving loan, which helps in the company’s effort to receive $300,000 from the Minnesota Investment Fund. The $50,000 is contingent on MIF approval."/>
    <s v="MF, HQ"/>
    <n v="10400000"/>
    <n v="38"/>
    <x v="0"/>
    <n v="14000"/>
    <x v="23"/>
    <x v="1"/>
    <s v="https://kymnradio.net/2019/12/31/all-flex-flexing-to-expand-new-laws-to-regulate-pharmacy-middlemen-and-controlled-substance-providers-turkey-hunters-have-more-options-crews-trimming-branches-ig-woods-volunteers-needed-for-candle/"/>
    <s v="Also DEED"/>
    <s v="1705 Cannon Ln"/>
    <n v="55057"/>
    <n v="44.478098000000003"/>
    <n v="-93.176745999999994"/>
    <s v="Government Financing"/>
    <s v="MIF ($300K), JCF ($175K), EDA Loan ($50K)"/>
    <n v="525000"/>
    <m/>
    <m/>
    <m/>
    <m/>
    <m/>
    <s v="Metro"/>
    <x v="2"/>
  </r>
  <r>
    <x v="8"/>
    <d v="2020-02-27T00:00:00"/>
    <x v="404"/>
    <s v="New Ulm"/>
    <s v="Brown"/>
    <s v="MN"/>
    <s v="Firmenich announced an expansion project three years ago, but began initial construction in spring 2019. The expansion will add capacity, create roughly 15 new jobs and includes buying new equipment. Firmenich makes flavoring ingredients that are added to, for example, food, beverages and healthcare products. The New Ulm plant, employing 110 workers currently, is one of five facilities in North America. With the new expansion, the New Ulm plant will become a flagship operation in the Firmenich family."/>
    <s v="MF"/>
    <m/>
    <n v="15"/>
    <x v="0"/>
    <m/>
    <x v="28"/>
    <x v="1"/>
    <s v="https://www.nujournal.com/news/local-news/2020/02/27/firmenich-expansion-cements-its-presence-commitment-to-new-ulm/"/>
    <m/>
    <s v="100 N Valley St"/>
    <n v="56073"/>
    <n v="44.316923000000003"/>
    <n v="-94.455939999999998"/>
    <m/>
    <m/>
    <m/>
    <m/>
    <m/>
    <m/>
    <m/>
    <m/>
    <s v="South"/>
    <x v="2"/>
  </r>
  <r>
    <x v="8"/>
    <d v="2020-02-28T00:00:00"/>
    <x v="405"/>
    <s v="Minneapolis"/>
    <s v="Hennepin"/>
    <s v="MN"/>
    <s v="Allina Health System's Abbott Northwestern Hospital is planning a $70 million transportation hub and a $122 million utilities plant. They will also build a new building for patient treatment. Will break ground for the transportation hub this fall. The utilities plant is expected to be operational in two-and-a-half to three years. The new patient treatment won't open until 2027 or 2028."/>
    <s v="Other (infrastructure, utilities)"/>
    <n v="192000000"/>
    <m/>
    <x v="0"/>
    <m/>
    <x v="40"/>
    <x v="0"/>
    <s v="https://www.bizjournals.com/twincities/news/2020/02/28/allina-plans-almost-200m-in-abbott-northwestern.html"/>
    <s v="MSP Business Journal"/>
    <s v="800 E 28th St"/>
    <n v="55407"/>
    <n v="44.954582000000002"/>
    <n v="-93.261308999999997"/>
    <m/>
    <m/>
    <m/>
    <m/>
    <m/>
    <m/>
    <m/>
    <m/>
    <s v="Metro"/>
    <x v="2"/>
  </r>
  <r>
    <x v="8"/>
    <d v="2020-02-28T00:00:00"/>
    <x v="406"/>
    <s v="Shakopee"/>
    <s v="Scott"/>
    <s v="MN"/>
    <s v="Cherne Industries, a maker of pipe plugs and related equipment for plumbing and underground industries, will move its headquarters and 115 jobs from Edina to a new facility in Shakopee._x000a__x000a_Shakopee's City Council approved a $460K tax abatement for a new, 130,000-square-foot office and warehouse site located between Vierling Drive and County Road 69. Opus Group will develop the $11.74 million building, and then lease to Cherne. Cherne plans to add 50 jobs at its Shakopee facility over the next five years, and retain the existing 115 jobs. "/>
    <s v="OF,WH"/>
    <n v="3390000"/>
    <n v="50"/>
    <x v="0"/>
    <n v="130000"/>
    <x v="4"/>
    <x v="1"/>
    <s v="https://www.bizjournals.com/twincities/news/2020/02/28/manufacturer-will-move-hq-from-edina-to-shakopee.html"/>
    <s v="MSP Business Journal"/>
    <s v="1198 Vierling Dr E"/>
    <n v="55379"/>
    <n v="44.779909000000004"/>
    <n v="-93.509482000000006"/>
    <m/>
    <s v="Local Tax Abatement"/>
    <n v="460000"/>
    <m/>
    <m/>
    <m/>
    <m/>
    <m/>
    <s v="Metro"/>
    <x v="2"/>
  </r>
  <r>
    <x v="8"/>
    <d v="2020-03-02T00:00:00"/>
    <x v="407"/>
    <s v="Bloomington"/>
    <s v="Hennepin"/>
    <s v="MN"/>
    <s v="Building permits for &quot;Polar Semiconductor Fab 3 Modifications&quot; and &quot;P1 Storage Modifications&quot;. As the wafer fabrication division of Allegro MicroSystems, Inc., Polar Semiconductor operates a 310,000 square-foot facility that includes 140,000 square-feet of cleanroom space.  We specialize in 200mm wafer production on proprietary wafer technologies."/>
    <s v="MF"/>
    <n v="254000"/>
    <m/>
    <x v="0"/>
    <m/>
    <x v="23"/>
    <x v="1"/>
    <s v="https://www.bloomingtonmn.gov/bldg/permit-status-inspection-results-monthly-building-reports"/>
    <s v="Bloomington Building Permit records"/>
    <s v="2800 E OLD SHAKOPEE RD"/>
    <n v="55425"/>
    <n v="44.853470999999999"/>
    <n v="-93.230999999999995"/>
    <m/>
    <m/>
    <m/>
    <m/>
    <m/>
    <m/>
    <m/>
    <m/>
    <s v="Metro"/>
    <x v="2"/>
  </r>
  <r>
    <x v="8"/>
    <d v="2020-03-09T00:00:00"/>
    <x v="408"/>
    <s v="Owatonna"/>
    <s v="Steele"/>
    <s v="MN"/>
    <s v="Bosch is a multinational engineering and electronics company that produces automotive and industrial products. Bosch — or Robert Bosch LLC —plans to build a new warehouse that would create 50 new jobs and have a total capital investment of $15 million. Bosch employs 600 people in Owatonna._x000a__x000a_For this project, Bosch is requesting TIF assistance from Owatonna and a BDPI grant from DEED to help with infrastructure costs. Update 4/8: TIF district approved. Owatonna received $176,124 BDPI."/>
    <s v="WH"/>
    <n v="15000000"/>
    <n v="50"/>
    <x v="0"/>
    <n v="266000"/>
    <x v="23"/>
    <x v="1"/>
    <s v="https://www.southernminn.com/owatonna_peoples_press/news/article_e358eb7a-44a1-5adc-9fac-3ac03056061b.html#utm_source=southernminn.com&amp;utm_campaign=%2Fnewsletters%2Fbusiness%2F%3F-dc%3D1583857812&amp;utm_medium=email&amp;utm_content=headline"/>
    <s v="SouthernMinn.com"/>
    <s v="2884 W Bridge St."/>
    <n v="55060"/>
    <n v="44.085180000000001"/>
    <n v="-93.262703999999999"/>
    <s v="Government Financing"/>
    <s v="BDPI ($176,124), est. TIF ($210296)"/>
    <n v="386420"/>
    <s v="y"/>
    <s v="Robert Bosch"/>
    <m/>
    <m/>
    <s v="Germany"/>
    <s v="South"/>
    <x v="2"/>
  </r>
  <r>
    <x v="8"/>
    <d v="2020-03-10T00:00:00"/>
    <x v="409"/>
    <s v="Little Falls"/>
    <s v="Morrison"/>
    <s v="MN"/>
    <s v="White Dog Labs might be based in Delaware, but the biotech company has big plans for its future in Minnesota. The company is currently raising funds from investors to reopen the Central Minnesota Renewables facility in Little Falls. They expect to restore at least 40 jobs to the city. So far, Musea Ventures has invested around $15 million into White Dog. White, and plans to raise another $15 million to get things going.  White Dog Labs will focus on refurbishing the Little Falls plant and hopes to begin production by the end of 2020."/>
    <m/>
    <n v="15000000"/>
    <n v="40"/>
    <x v="0"/>
    <m/>
    <x v="9"/>
    <x v="4"/>
    <s v="https://www.bizjournals.com/twincities/news/2020/03/10/white-dog-labs-creating-a-biotech-innovation.html"/>
    <s v="MSP Business Journal"/>
    <s v="17936 Heron Rd"/>
    <n v="56345"/>
    <n v="46.018839"/>
    <n v="-94.340798000000007"/>
    <m/>
    <m/>
    <m/>
    <m/>
    <m/>
    <m/>
    <s v="Delaware"/>
    <s v="US"/>
    <s v="Central"/>
    <x v="2"/>
  </r>
  <r>
    <x v="8"/>
    <d v="2020-03-11T00:00:00"/>
    <x v="410"/>
    <s v="Minneapolis"/>
    <s v="Hennepin"/>
    <s v="MN"/>
    <s v="Wolters Kluwer, a provider of technical services to hospitals, banks, accounting and law firms, recently finished a hiring spree at its downtown Minneapolis office. The Dutch-based company announced last week it hired about 40 programmers and other data specialists, finishing at 131 employees, doubling from 62 three years ago._x000a__x000a_In addition to the current burst of hiring, Meirink said he anticipates another round later this year. Overall, the firm employs about 700 Minnesotans, including 470 in St. Cloud."/>
    <s v="OF"/>
    <m/>
    <s v="40+"/>
    <x v="0"/>
    <m/>
    <x v="3"/>
    <x v="4"/>
    <s v="http://www.startribune.com/wolters-kluwer-hunts-for-40-tech-workers-at-mpls-office/568671042/"/>
    <s v="Star Tribune"/>
    <s v="100 S 5th St. Suite 700"/>
    <n v="55402"/>
    <n v="44.978349999999999"/>
    <n v="-93.268628000000007"/>
    <m/>
    <m/>
    <m/>
    <s v="y"/>
    <m/>
    <m/>
    <m/>
    <s v="Netherlands"/>
    <s v="Metro"/>
    <x v="2"/>
  </r>
  <r>
    <x v="8"/>
    <d v="2020-03-13T00:00:00"/>
    <x v="174"/>
    <s v="Minneapolis"/>
    <s v="Hennepin"/>
    <s v="MN"/>
    <s v="Life Time Inc.’s expansion into the coworking sector is reaching downtown Minneapolis. The Chanhassen-based company announced it is planning to open a 53,000-square-foot Life Time Work on the top three floors of the former YMCA building near Hennepin Avenue and Ninth Street."/>
    <s v="OF"/>
    <m/>
    <m/>
    <x v="0"/>
    <n v="53000"/>
    <x v="41"/>
    <x v="2"/>
    <s v="https://www.bizjournals.com/twincities/news/2020/03/13/life-time-picks-a-site-for-coworking-offices-in.html"/>
    <s v="MSP Business Journal"/>
    <s v="600 N 1st Ave N"/>
    <n v="55403"/>
    <n v="44.979579999999999"/>
    <n v="-93.276090999999994"/>
    <m/>
    <m/>
    <m/>
    <m/>
    <m/>
    <m/>
    <m/>
    <m/>
    <s v="Metro"/>
    <x v="2"/>
  </r>
  <r>
    <x v="8"/>
    <d v="2020-03-16T00:00:00"/>
    <x v="60"/>
    <s v="Shakopee"/>
    <s v="Scott"/>
    <s v="MN"/>
    <s v="Amazon said Monday that it needs to hire 100,000 people across the U.S. to keep up with a crush of orders as the coronavirus spreads and keeps more people at home, shopping online. The online retailer said it will also temporarily raise pay by $2 an hour through the end of April for hourly employees. That includes workers at its warehouses, delivery centers and Whole Foods grocery stores, all of whom make at least $15 an hour. "/>
    <s v="WH, Other"/>
    <m/>
    <m/>
    <x v="0"/>
    <m/>
    <x v="0"/>
    <x v="8"/>
    <s v="http://www.startribune.com/business-briefing-amazon-has-plans-to-hire-100-000-workers/568843152/"/>
    <s v="Star Tribune"/>
    <m/>
    <m/>
    <n v="46.316133999999998"/>
    <n v="-94.199479999999994"/>
    <m/>
    <m/>
    <m/>
    <m/>
    <s v="Amazon"/>
    <s v="Seattle"/>
    <s v="WA"/>
    <m/>
    <s v="Metro"/>
    <x v="2"/>
  </r>
  <r>
    <x v="8"/>
    <d v="2020-03-16T00:00:00"/>
    <x v="312"/>
    <s v="Eden Prairie"/>
    <s v="Hennepin"/>
    <s v="MN"/>
    <s v="A cybersecurity firm called Arctic Wolf Networks, based in Sunnyvale, Calif., last week received $60 million in venture capital. The funds will help the 400-person firm double the size of its Eden Prairie office to 260 by 2021, local executives said. (i.e. Currently 130 of the 400 are in Eden Prairie.)"/>
    <m/>
    <m/>
    <n v="130"/>
    <x v="0"/>
    <n v="27000"/>
    <x v="3"/>
    <x v="4"/>
    <s v="http://www.startribune.com/how-silicon-valley-s-arctic-wolf-made-it-to-minnesota-s-silicon-prairie/568784112/"/>
    <s v="Star Tribune"/>
    <s v="8939 Columbine Rd Suite 150"/>
    <n v="55347"/>
    <n v="44.841734000000002"/>
    <n v="-93.441980999999998"/>
    <s v="Venture Capital"/>
    <m/>
    <m/>
    <m/>
    <m/>
    <m/>
    <m/>
    <m/>
    <s v="Metro"/>
    <x v="2"/>
  </r>
  <r>
    <x v="8"/>
    <d v="2020-03-24T00:00:00"/>
    <x v="411"/>
    <s v="Bloomington"/>
    <s v="Hennepin"/>
    <s v="MN"/>
    <s v="Building permit for &quot;interior tenant improvement&quot;: In 1986, Lamex Foods Inc. opened in Bloomington, MN to assist its EU counterparts in the procurement of US beef. Its primary products include chicken, turkey, pork, beef, honey, juice concentrates, ingredients, fruit and vegetables. Its main US office is in Bloomington, MN."/>
    <s v="OF"/>
    <n v="591405"/>
    <m/>
    <x v="0"/>
    <m/>
    <x v="45"/>
    <x v="10"/>
    <s v="https://www.bloomingtonmn.gov/bldg/permit-status-inspection-results-monthly-building-reports"/>
    <s v="Bloomington Building Permit records"/>
    <s v="5800 W 84TH ST"/>
    <n v="55438"/>
    <n v="44.852747000000001"/>
    <n v="-93.356657999999996"/>
    <m/>
    <m/>
    <m/>
    <s v="y"/>
    <s v="Lamex Foods"/>
    <s v="Turnford"/>
    <s v="Hertfordshire"/>
    <s v="United Kingdom"/>
    <s v="Metro"/>
    <x v="2"/>
  </r>
  <r>
    <x v="8"/>
    <d v="2020-03-26T00:00:00"/>
    <x v="412"/>
    <s v="Arden Hills"/>
    <s v="Ramsey"/>
    <s v="MN"/>
    <s v="The increased demand and urgency to keep food companies during the coronavirus pandemic. Orders for Delkor System’s bus-sized packaging robots are coming in so fast from food companies such as Daisy Sour Cream, Hershey, Hormel and Great Lakes Cheese that the Arden Hills factory is adding space and more than 30 new workers to keep up with demand. The company also took over the lease next door, gaining a 30,000-square-foot space."/>
    <m/>
    <m/>
    <n v="30"/>
    <x v="0"/>
    <n v="30000"/>
    <x v="4"/>
    <x v="1"/>
    <s v="https://www.startribune.com/empty-shelves-mean-suppliers-like-arden-hills-delkor-are-adding-workers/569127672/"/>
    <s v="Star Tribune"/>
    <s v="4300 Round Lake Rd W"/>
    <n v="55112"/>
    <n v="45.072521000000002"/>
    <n v="-93.182507999999999"/>
    <m/>
    <m/>
    <m/>
    <m/>
    <m/>
    <m/>
    <m/>
    <m/>
    <s v="Metro"/>
    <x v="2"/>
  </r>
  <r>
    <x v="8"/>
    <d v="2020-03-26T00:00:00"/>
    <x v="413"/>
    <s v="Faribault"/>
    <s v="Rice"/>
    <s v="MN"/>
    <s v="Trystar manufactures temporary electrical power units for commercial and emergency services. It employs 150 full-time employees in Faribault and a couple dozen in Burnsville. _x000a__x000a_Trystar has 140,000 SF of space across four buildings in Faribault. Trystar will move into a new 100,000 SF warehouse -- initially built for the Cheese Cave, Faribault Foods and SageGlass -- and those companies would move into Trystar’s old facilities.  Faribault’s EDA approved a $100,000 loan, forgivable after 5 years. The city and county board will cover $450,000 via tax abatement. "/>
    <s v="WH, MF"/>
    <n v="550000"/>
    <s v="(150 retained)"/>
    <x v="0"/>
    <n v="100000"/>
    <x v="23"/>
    <x v="1"/>
    <s v="https://www.southernminn.com/faribault_daily_news/news/article_8030e12c-bc35-5c50-9b16-2f2a63584ba2.html#utm_source=southernminn.com&amp;utm_campaign=%2Fnewsletters%2Fbusiness%2F%3F-dc%3D1585326610&amp;utm_medium=email&amp;utm_content=headline"/>
    <s v="SouthernMinn.com"/>
    <s v="2917 Industrial Dr"/>
    <n v="55021"/>
    <n v="44.321629000000001"/>
    <n v="-93.285443000000001"/>
    <s v="Government Financing"/>
    <s v="EDA ($100K), Tax Abatement ($450K)"/>
    <n v="550000"/>
    <m/>
    <m/>
    <m/>
    <m/>
    <m/>
    <s v="South"/>
    <x v="2"/>
  </r>
  <r>
    <x v="8"/>
    <d v="2020-03-27T00:00:00"/>
    <x v="414"/>
    <s v="Bloomington"/>
    <s v="Hennepin"/>
    <s v="MN"/>
    <s v="Building permit for: Construction of a new structure to support a 25,000-pound freight elevator located at One Disk Drive, Bloomington, MN 55435. The addition is approximately 1200 square feet on two levels."/>
    <s v="Other (infrastructure, utilities)"/>
    <n v="930638"/>
    <m/>
    <x v="0"/>
    <n v="1200"/>
    <x v="23"/>
    <x v="1"/>
    <s v="https://www.bloomingtonmn.gov/bldg/permit-status-inspection-results-monthly-building-reports"/>
    <s v="Bloomington Building Permit records"/>
    <s v="7801 COMPUTER AVE S"/>
    <n v="55435"/>
    <n v="44.861038000000001"/>
    <n v="-93.344408999999999"/>
    <m/>
    <m/>
    <m/>
    <m/>
    <m/>
    <m/>
    <m/>
    <m/>
    <s v="Metro"/>
    <x v="2"/>
  </r>
  <r>
    <x v="8"/>
    <d v="2020-03-30T00:00:00"/>
    <x v="415"/>
    <s v="Bloomington"/>
    <s v="Hennepin"/>
    <s v="MN"/>
    <s v="Building permit for: &quot;Remodel of existing Tenant Space (small suite on Lower Level) Full Floor on 4th Floor. New walls, doors, ceiling, lighting, HVAC re-work, etc.  No structural changes.&quot; Software solutions for Human capital management from Ceridian transforms your HR, business payroll, workforce management and talent management. "/>
    <s v="OF"/>
    <n v="2200000"/>
    <m/>
    <x v="0"/>
    <m/>
    <x v="3"/>
    <x v="4"/>
    <s v="https://www.bloomingtonmn.gov/bldg/permit-status-inspection-results-monthly-building-reports"/>
    <s v="Bloomington Building Permit records"/>
    <s v="3311 E OLD SHAKOPEE RD"/>
    <n v="55425"/>
    <n v="44.853777000000001"/>
    <n v="-93.225229999999996"/>
    <m/>
    <m/>
    <m/>
    <m/>
    <m/>
    <m/>
    <m/>
    <m/>
    <s v="Metro"/>
    <x v="2"/>
  </r>
  <r>
    <x v="8"/>
    <d v="2020-03-31T00:00:00"/>
    <x v="416"/>
    <s v="Mahtomedi"/>
    <s v="Washington"/>
    <s v="MN"/>
    <s v="FedEx has announced it will be hiring 400 more workers at its St. Paul operation, after a surge in demand during the COVID-19 crisis. It's looking for package handlers at its St. Paul warehouse, with pay starting at $16-per-hour._x000a__x000a_Even though the company has had to reduce its overall delivery capacity due to a significant reduction of both passenger and cargo flights, its ground business is being boosted as more people stay at home and order online."/>
    <s v="WH"/>
    <m/>
    <n v="400"/>
    <x v="0"/>
    <m/>
    <x v="0"/>
    <x v="3"/>
    <s v="https://bringmethenews.com/minnesota-news/fedex-to-hire-400-in-twin-cities-to-cope-with-coronavirus-demand"/>
    <m/>
    <s v="7 Long Lake Road"/>
    <n v="55115"/>
    <n v="45.037547000000004"/>
    <n v="-92.977635000000006"/>
    <m/>
    <m/>
    <m/>
    <m/>
    <m/>
    <m/>
    <m/>
    <m/>
    <s v="Metro"/>
    <x v="2"/>
  </r>
  <r>
    <x v="8"/>
    <d v="2020-03-31T00:00:00"/>
    <x v="417"/>
    <s v="Coon Rapids"/>
    <s v="Anoka"/>
    <s v="MN"/>
    <s v="Interior Remodel of clinic specializing in cancer care (per 2020-Q1 Coon Rapids building permits report)"/>
    <m/>
    <n v="757935"/>
    <m/>
    <x v="0"/>
    <m/>
    <x v="40"/>
    <x v="0"/>
    <s v="https://www.coonrapidsmn.gov/ArchiveCenter/ViewFile/Item/931"/>
    <s v="City of Coon Rapids"/>
    <s v="11850 Blackfoot St NW"/>
    <n v="55433"/>
    <n v="45.185555999999998"/>
    <n v="-93.367749000000003"/>
    <m/>
    <m/>
    <m/>
    <m/>
    <m/>
    <m/>
    <m/>
    <m/>
    <s v="Metro"/>
    <x v="2"/>
  </r>
  <r>
    <x v="8"/>
    <d v="2020-03-31T00:00:00"/>
    <x v="418"/>
    <s v="Maple Grove"/>
    <s v="Hennepin"/>
    <s v="MN"/>
    <s v="Ryan Cos. and North Memorial Health are one step closer to breaking ground on the 100-acre Minnesota Health Village project in Maple Grove. The mixed-use development also involves Maple Grove Hospital getting either a direct expansion, smaller medical office buildings — which would serve in a supportive capacity — or both. In all, the development calls for 339,350 square feet for health care use and 302,400 square feet for medical office space. Phase one of the project is expected to break ground this fall or spring 2021.﻿"/>
    <s v="HC, OF"/>
    <n v="9300000"/>
    <m/>
    <x v="0"/>
    <n v="641750"/>
    <x v="40"/>
    <x v="0"/>
    <s v="https://www.bizjournals.com/twincities/news/2020/03/31/ryan-north-memorial-lock-in-land-for-100-acre.html"/>
    <s v="MSP Business Journal"/>
    <s v="15800 Grove Cir N"/>
    <n v="55369"/>
    <n v="45.136612999999997"/>
    <n v="-93.480956000000006"/>
    <m/>
    <m/>
    <m/>
    <m/>
    <m/>
    <m/>
    <m/>
    <m/>
    <s v="Metro"/>
    <x v="2"/>
  </r>
  <r>
    <x v="9"/>
    <d v="2020-04-01T00:00:00"/>
    <x v="89"/>
    <s v="Eagan"/>
    <s v="Dakota"/>
    <s v="MN"/>
    <s v="E-commerce company Proozy wants to hire at least 50 new employees for its Eagan fulfillment center so it can keep pace with growing demand from customers stuck at home due to the coronavirus pandemic. Proozy is an online retailer that sells discounted merchandise. It specializes in sportswear and sports equipment._x000a__x000a_The company currently has 92 employees. Most of the new positions are fulfillment center associates."/>
    <s v="WH"/>
    <m/>
    <n v="50"/>
    <x v="0"/>
    <m/>
    <x v="0"/>
    <x v="8"/>
    <s v="https://www.bizjournals.com/twincities/news/2020/04/01/e-commerce-site-wants-to-hire-dozens-because-of.html"/>
    <s v="MSP Business Journal"/>
    <s v="980 Discovery Rd"/>
    <n v="55121"/>
    <n v="44.834387"/>
    <n v="-93.139977000000002"/>
    <m/>
    <m/>
    <m/>
    <m/>
    <m/>
    <m/>
    <m/>
    <m/>
    <s v="Metro"/>
    <x v="2"/>
  </r>
  <r>
    <x v="9"/>
    <d v="2020-04-06T00:00:00"/>
    <x v="419"/>
    <s v="St. Cloud"/>
    <s v="Stearns"/>
    <s v="MN"/>
    <s v="West Rock, a St. Cloud box-making plant lost significant revenue when Electrolux closed in November. The plant employs 110 people. The sales team went after food companies, a move that now has the plant looking to add people. The increase in food and consumer paper goods packaging needs during the coronavirus epidemic also is keeping revenue stable as the plant’s other business falls. WestRock also has pulp, paperboard or corrugated paper factories in Minneapolis, St. Paul, Fridley and Fargo."/>
    <s v="MF"/>
    <m/>
    <m/>
    <x v="0"/>
    <m/>
    <x v="13"/>
    <x v="1"/>
    <s v="https://www.startribune.com/food-packaging-needs-because-of-coronavirus-keep-st-cloud-factory-strong/569411952/"/>
    <s v="Star Tribune"/>
    <s v="655 41st Ave N"/>
    <n v="56303"/>
    <n v="45.563412"/>
    <n v="-94.208725000000001"/>
    <m/>
    <m/>
    <m/>
    <m/>
    <m/>
    <m/>
    <m/>
    <m/>
    <s v="Central"/>
    <x v="2"/>
  </r>
  <r>
    <x v="9"/>
    <d v="2020-04-09T00:00:00"/>
    <x v="420"/>
    <s v="Minneapolis"/>
    <s v="Hennepin"/>
    <s v="MN"/>
    <s v="Gourmet popcorn startup Maddy &amp; Maize has a new partnership with Edible Arrangements, based in Atlanta. The Minneapolis-based brand is now the sole popcorn provider for Edible Arrangements’ more than 1,200 U.S. locations._x000a__x000a_The partnership provides a huge boost in exposure and requires a major ramp up in manufacturing, for the small company. They recently moved production to a manufacturing facility just outside of the Twin Cities and scaled up to a full-time staff of six."/>
    <s v="MF"/>
    <m/>
    <m/>
    <x v="0"/>
    <m/>
    <x v="1"/>
    <x v="1"/>
    <s v="http://tcbmag.com/news/articles/2020/april/twin-cities-gourmet-popcorn-brand-pops-into-partnership-with-edible-arrangements"/>
    <s v="Twin Cities Business"/>
    <s v="4301 Minnesota Service Road 7, #120"/>
    <n v="55435"/>
    <n v="44.861750999999998"/>
    <n v="-93.330889999999997"/>
    <m/>
    <m/>
    <m/>
    <m/>
    <m/>
    <m/>
    <m/>
    <m/>
    <s v="Metro"/>
    <x v="2"/>
  </r>
  <r>
    <x v="9"/>
    <d v="2020-04-10T00:00:00"/>
    <x v="421"/>
    <s v="Montevideo, Bethel, Long Prairie"/>
    <s v="Chippewa"/>
    <s v="MN"/>
    <s v="Demand for medical ventilator components for those suffering from COVID-19 is driving new production at Chandler Industries facilities in Montevideo, Bethel and Long Prairie._x000a_The company currently employs 250 workers in the states and is hiring during the pandemic due to the surge in need for medical parts. Chandler Industries anchored medical work for ventilators at their Montevideo facility in Chippewa County. _x000a_“We saw demand increase 10 times the normal production,” Alder said."/>
    <s v="MF"/>
    <m/>
    <m/>
    <x v="0"/>
    <m/>
    <x v="27"/>
    <x v="1"/>
    <s v="https://kstp.com/business/creating-jobs-during-covid-19-pandemic-in-smaller-minnesota-communities/5697899/"/>
    <s v="KSTP"/>
    <s v="1654 N 9th St"/>
    <n v="56265"/>
    <n v="44.966360999999999"/>
    <n v="-95.713960999999998"/>
    <m/>
    <m/>
    <m/>
    <m/>
    <m/>
    <m/>
    <m/>
    <m/>
    <s v="Central"/>
    <x v="2"/>
  </r>
  <r>
    <x v="9"/>
    <d v="2020-04-10T00:00:00"/>
    <x v="422"/>
    <s v="Minnetonka"/>
    <s v="Hennepin"/>
    <s v="MN"/>
    <s v="E-commerce company Digital River 's private equity owner, Siris Capital Group, gave it an additional $50 million in February to hire new employees and acquire businesses. digital River performs back-end services for online retailers, and has 11 open jobs based out of its Minnetonka headquarters, said Becky Garroch, Digital River's vice president of human resources. It has hired eight people in Minnesota in the last three weeks."/>
    <s v="OF"/>
    <m/>
    <n v="11"/>
    <x v="0"/>
    <m/>
    <x v="3"/>
    <x v="4"/>
    <s v="https://www.bizjournals.com/twincities/news/2020/04/10/for-tech-firms-still-hiring-slump-has-put-top.html"/>
    <s v="MSP Business Journal"/>
    <s v="10380 Bren Rd W"/>
    <n v="55343"/>
    <n v="44.900334999999998"/>
    <n v="-93.410771999999994"/>
    <m/>
    <m/>
    <m/>
    <m/>
    <m/>
    <m/>
    <m/>
    <m/>
    <s v="Metro"/>
    <x v="2"/>
  </r>
  <r>
    <x v="9"/>
    <d v="2020-04-10T00:00:00"/>
    <x v="423"/>
    <s v="Saint Louis Park"/>
    <s v="Hennepin"/>
    <s v="MN"/>
    <s v="Total Expert has 17 jobs available on its website, which it still plans to fill; Total Expert raised $52 million in 2019."/>
    <m/>
    <m/>
    <n v="17"/>
    <x v="0"/>
    <m/>
    <x v="3"/>
    <x v="4"/>
    <s v="https://www.bizjournals.com/twincities/news/2020/04/10/for-tech-firms-still-hiring-slump-has-put-top.html"/>
    <s v="MSP Business Journal"/>
    <s v="1600 Utica Ave S,"/>
    <n v="55416"/>
    <n v="44.966161999999997"/>
    <n v="-93.345726999999997"/>
    <m/>
    <m/>
    <m/>
    <m/>
    <m/>
    <m/>
    <m/>
    <m/>
    <s v="Metro"/>
    <x v="2"/>
  </r>
  <r>
    <x v="9"/>
    <d v="2020-04-10T00:00:00"/>
    <x v="424"/>
    <s v="Minneapolis"/>
    <s v="Hennepin"/>
    <s v="MN"/>
    <s v="Virgin Pulse broke into the Twin Cities market with the acquisition of Redbrick Health Corp. in 2018. The well-being and healthy habits software company is looking to hire for 12 positions, including software engineers and client services positions, for its Minneapolis office."/>
    <s v="OF"/>
    <m/>
    <n v="12"/>
    <x v="0"/>
    <m/>
    <x v="3"/>
    <x v="4"/>
    <s v="https://www.bizjournals.com/twincities/news/2020/04/10/for-tech-firms-still-hiring-slump-has-put-top.html"/>
    <s v="MSP Business Journal"/>
    <s v="510 S Marquette Ave #500,"/>
    <n v="55402"/>
    <n v="44.978057"/>
    <n v="-93.269656999999995"/>
    <m/>
    <m/>
    <m/>
    <m/>
    <m/>
    <m/>
    <m/>
    <m/>
    <s v="Metro"/>
    <x v="2"/>
  </r>
  <r>
    <x v="9"/>
    <d v="2020-04-15T00:00:00"/>
    <x v="425"/>
    <s v="Ramsey"/>
    <s v="Anoka"/>
    <s v="MN"/>
    <s v="Global Glove &amp; Safety Manufacturing Inc. in Ramsey has acquired a second location in the city to provide additional warehouse space for its growing business._x000a__x000a_The company closed April 9 on the acquisition of the vacant 61,654-square-foot warehouse, built in 1979 on a 3-acre site at 13601 Tungsten St. NW. The acquisition nearly doubles the space available for the company. The $2.5 million price works out to $40.55 per square foot."/>
    <s v="WH"/>
    <n v="2500000"/>
    <m/>
    <x v="0"/>
    <n v="61654"/>
    <x v="46"/>
    <x v="1"/>
    <s v="https://finance-commerce.com/2020/04/just-sold-safety-gear-maker-buys-second-warehouse/"/>
    <s v="Finance &amp; Commerce"/>
    <s v="13601 Tungsten St. NW"/>
    <n v="55303"/>
    <n v="45.218119999999999"/>
    <n v="-93.424746999999996"/>
    <m/>
    <m/>
    <m/>
    <m/>
    <m/>
    <m/>
    <m/>
    <m/>
    <s v="Metro"/>
    <x v="2"/>
  </r>
  <r>
    <x v="9"/>
    <d v="2020-04-17T00:00:00"/>
    <x v="426"/>
    <s v="Winona"/>
    <s v="Winona"/>
    <s v="MN"/>
    <s v="Deal to save 115 jobs at Winona’s BCS factory_x000a_After weighing whether to close the Winona factory and another plant in Auburn, N.Y., BCS leaders decided to keep the Winona factory open.  There will be temporary layoffs at the Winona factory this fall while the company moves its New York operations to Minnesota in late 2020 or early 2021. BCS makes automotive components. Winona's Port Authority plans to give BCS a $100,000 low-interest loan._x000a_ _x000a_DEED Update: JCF $400K (7/29/20), MIF $600K (8/4/20)"/>
    <s v="MFG"/>
    <n v="2987000"/>
    <n v="117"/>
    <x v="4"/>
    <m/>
    <x v="22"/>
    <x v="1"/>
    <s v="http://www.winonapost.com/News/ArticleID/68761/Deal-to-save-115-jobs-at-Winonas-BCS-factory"/>
    <s v="Winona Post"/>
    <s v="5676 Industrial Park Rd"/>
    <n v="55987"/>
    <n v="44.074401000000002"/>
    <n v="-91.711625999999995"/>
    <s v="Government"/>
    <s v="JCF ($400K), Winona Port Authority ($100K), MIF ($600K)"/>
    <n v="1100000"/>
    <m/>
    <m/>
    <m/>
    <m/>
    <m/>
    <s v="South"/>
    <x v="2"/>
  </r>
  <r>
    <x v="9"/>
    <d v="2020-04-21T00:00:00"/>
    <x v="427"/>
    <s v="Brooklyn Park"/>
    <s v="Hennepin"/>
    <s v="MN"/>
    <s v="Kurita America, a Japanese water-treatment manufacturer, is consolidating after several Minnesota acquisitions. Itsnew  156K SF headquarters will be at the 610 Zane Business Park in Brooklyn Park. Parent company is Tokyo-based Kurita Water Industries. Will have 84K SF production space and 72K SF of lab, training, office space. Will move about 190 employees to facility, coming from St. Michael, Tonka Water in Plymouth and Fremont Industries in Shakopee.  Room for up to 300 in the next 5-10 years."/>
    <s v="HQ, MF"/>
    <m/>
    <m/>
    <x v="0"/>
    <n v="156000"/>
    <x v="4"/>
    <x v="1"/>
    <s v="https://finance-commerce.com/2020/04/kurita-moving-to-brooklyn-park/"/>
    <s v="Finance &amp; Commerce"/>
    <m/>
    <n v="55443"/>
    <n v="45.089511999999999"/>
    <n v="-93.347307000000001"/>
    <m/>
    <m/>
    <m/>
    <s v="x"/>
    <s v="Kurita"/>
    <m/>
    <m/>
    <s v="Japan"/>
    <s v="Metro"/>
    <x v="2"/>
  </r>
  <r>
    <x v="9"/>
    <d v="2020-04-21T00:00:00"/>
    <x v="428"/>
    <s v="Cottonwood"/>
    <s v="Lyon"/>
    <s v="MN"/>
    <s v="MIF Award 2020-Q2. $400K MIF Award for expansion project that will cost $4.1 million and add 84 jobs _x000a__x000a_City of Cottonwood Meeting: presented the application for the Minnesota Investment Fund on behalf of Legend Cabinetry. The application is for $400,000 in a forgivable loan to be used for the purchase of machinery and equipment. To meet criteria for MIF, need to create 84 jobs in two years with starting wage plus benefits at $15.00"/>
    <s v="MF"/>
    <n v="4126000"/>
    <n v="84"/>
    <x v="0"/>
    <m/>
    <x v="8"/>
    <x v="1"/>
    <s v="https://www.cityofcottonwoodmn.com/vertical/sites/%7BE0FDF809-1956-4DF5-8E65-A031493D88F5%7D/uploads/April_21_2020_Council_Minutes.pdf"/>
    <s v="City Council meeting, DEED"/>
    <m/>
    <n v="56229"/>
    <n v="44.569560000000003"/>
    <n v="-95.744921000000005"/>
    <m/>
    <m/>
    <m/>
    <m/>
    <m/>
    <m/>
    <m/>
    <m/>
    <s v="South"/>
    <x v="2"/>
  </r>
  <r>
    <x v="9"/>
    <d v="2020-04-24T00:00:00"/>
    <x v="429"/>
    <s v="Golden Valley"/>
    <s v="Hennepin"/>
    <s v="MN"/>
    <s v="TreHus, a growing Minneapolis-based architectural, design and custom homebuilding company, paid $1.12 million for a 10K SF office at 4725 Olson Memorial Drive in Golden Valley, and sold its former office at 3017 Fourth Ave. S. The move means building out the lower level of the building for Alliance Home Health Care (a tenant) and creating a new TreHus headquarters on the upper level by the end of the year. The company now has about three dozen employees. "/>
    <s v="HQ, OF"/>
    <n v="1120000"/>
    <m/>
    <x v="0"/>
    <n v="1152"/>
    <x v="15"/>
    <x v="4"/>
    <s v="https://finance-commerce.com/2020/04/just-sold-trehus-buys-bigger-office-in-golden-valley/"/>
    <s v="Finance &amp; Commerce"/>
    <s v="4725 Olson Memorial Drive"/>
    <n v="55422"/>
    <n v="44.983837999999999"/>
    <n v="-93.339314000000002"/>
    <m/>
    <m/>
    <m/>
    <m/>
    <m/>
    <m/>
    <m/>
    <m/>
    <s v="Metro"/>
    <x v="2"/>
  </r>
  <r>
    <x v="9"/>
    <d v="2020-04-30T00:00:00"/>
    <x v="430"/>
    <s v="Minneapolis"/>
    <s v="Hennepin"/>
    <s v="MN"/>
    <s v="Branch, a Minneapolis-based fintech startup, recently expanded its executive team, hiring its first chief financial officer and general counsel. Founded in 2015, Branch helps hourly workers get ahead financially by allowing them to receive money, manage cash flow and spend earnings from their smartphone.  Since the start of the COVID-19 outbreak, Branch has brought on over a dozen new team members and still has 2 open positions. The entire company is currently working remotely."/>
    <s v="OF"/>
    <m/>
    <n v="17"/>
    <x v="0"/>
    <m/>
    <x v="3"/>
    <x v="4"/>
    <s v="https://www.americaninno.com/minne/inno-news-minne/fintech-startup-branch-grows-executive-team/"/>
    <s v="American Inno"/>
    <s v="301 S 4th Ave #960N"/>
    <n v="55415"/>
    <n v="44.977995999999997"/>
    <n v="-93.263401999999999"/>
    <m/>
    <m/>
    <m/>
    <m/>
    <m/>
    <m/>
    <m/>
    <m/>
    <s v="Metro"/>
    <x v="2"/>
  </r>
  <r>
    <x v="9"/>
    <d v="2020-05-01T00:00:00"/>
    <x v="370"/>
    <s v="St. Cloud"/>
    <s v="Sherburne"/>
    <s v="MN"/>
    <s v="St. Cloud-based Microbiologics is growing its staff and facility. Microbiologics provides ready-to-use microorganisms for quality control testing in several industries. _x000a_Microbiologics expands R&amp;D space to support their move into working on personalized medicine. The new R&amp;D space can accommodate 20 people. With a little over 10 people in R&amp;D, hires are planned._x000a_The company wants double in size within the next six years, which will require another expansion. Move-in is slated for May."/>
    <s v="R&amp;D"/>
    <m/>
    <n v="10"/>
    <x v="0"/>
    <m/>
    <x v="28"/>
    <x v="1"/>
    <s v="https://www.sctimes.com/story/money/business/2020/05/01/microbiologics-expands-make-room-work-supporting-personalized-medicine-st-cloud/3039475001/?utm_source=sctimes-Daily%20Briefing&amp;utm_medium=email&amp;utm_campaign=daily_briefing&amp;utm_term=list_article_thumb"/>
    <s v="St. Cloud Times"/>
    <s v="200 Cooper Ave N"/>
    <n v="56303"/>
    <n v="45.557330999999998"/>
    <n v="-94.177407000000002"/>
    <m/>
    <m/>
    <m/>
    <m/>
    <m/>
    <m/>
    <m/>
    <m/>
    <s v="Central"/>
    <x v="2"/>
  </r>
  <r>
    <x v="9"/>
    <d v="2020-05-07T00:00:00"/>
    <x v="431"/>
    <s v="Minneapolis"/>
    <s v="Hennepin"/>
    <s v="MN"/>
    <s v="Zipnosis creates white label telehealth software for health systems. Virtual visits soared to 412,500 in April, up 1,260% from a year ago. _x000a_The majority of visits are through a virtual chatbot that records patients' symptoms and passes the information along to a doctor, who may follow up with a video visit. The chatbot is unique to Zipnosis. Zipnosis has added 11 employees in the past six weeks, reaching a total of 42. New hires are mostly in customer support."/>
    <m/>
    <m/>
    <n v="11"/>
    <x v="0"/>
    <m/>
    <x v="25"/>
    <x v="9"/>
    <s v="https://www.bizjournals.com/twincities/news/2020/05/07/zipnosis-hires-while-telehealth-visits-grow-by.html"/>
    <s v="MSP Business Journal"/>
    <s v="323 N Washington Ave #300"/>
    <n v="55401"/>
    <n v="44.984155000000001"/>
    <n v="-93.274996999999999"/>
    <m/>
    <m/>
    <m/>
    <m/>
    <m/>
    <m/>
    <m/>
    <m/>
    <s v="Metro"/>
    <x v="2"/>
  </r>
  <r>
    <x v="9"/>
    <d v="2020-05-11T00:00:00"/>
    <x v="432"/>
    <s v="Woodbury"/>
    <s v="Washington"/>
    <s v="MN"/>
    <s v="3M Co.'s former drug delivery business, renamed Kindeva Drug Delivery. Kindeva's products help patients take medication. Plan to hire 40-50 Minnesota employees in the &quot;near-term&quot; in R&amp;D, human resources, IT and finance._x000a__x000a_Kindeva has 900 employees, including 200 in the Twin Cities, 500 in UK and 200 in California. Twin Cities staff currently work at 3M's campus in Maplewood. Kindeva HQ is planned in Woodbury (9/2020 update) in a building larger than 100K SF._x000a_DEED Update: JCF $350K (9/21/20), MIF $515K (9/21/20)"/>
    <s v="R&amp;D, OF"/>
    <n v="35515000"/>
    <n v="50"/>
    <x v="0"/>
    <m/>
    <x v="11"/>
    <x v="1"/>
    <s v="https://www.bizjournals.com/twincities/news/2020/05/11/3m-drug-delivery-spinoff-seeking-workers-and-east.html"/>
    <s v="MSP Business Journal"/>
    <s v="11200 Hudson Rd"/>
    <n v="55129"/>
    <n v="44.945808999999997"/>
    <n v="-92.882041999999998"/>
    <s v="Government"/>
    <s v="JCF $350K (9/21/20), MIF $515K (9/21/20), IBDPI $475K"/>
    <n v="1340000"/>
    <m/>
    <m/>
    <m/>
    <m/>
    <m/>
    <s v="Metro"/>
    <x v="2"/>
  </r>
  <r>
    <x v="9"/>
    <d v="2020-05-12T00:00:00"/>
    <x v="433"/>
    <s v="Duluth"/>
    <s v="St Louis"/>
    <s v="MN"/>
    <s v="Duluth Airport Authority, $250,000_x000a_Duluth Airport Authority will use the funds to assist in completion of the phase II rehabilitation of its 311 building. Cirrus Aircraft plans to expand their current manufacturing capacity in the building and create 25 full-time jobs. Total cost of phase II is expected to be $500,000."/>
    <s v="MF"/>
    <n v="500000"/>
    <n v="25"/>
    <x v="0"/>
    <m/>
    <x v="0"/>
    <x v="3"/>
    <s v="https://mn.gov/deed/newscenter/press-releases/?id=432987#/detail/appId/1/id/431748"/>
    <s v="DEED"/>
    <s v="4515 Taylor Cir"/>
    <n v="55811"/>
    <n v="46.838329000000002"/>
    <n v="-92.203635000000006"/>
    <m/>
    <s v="AIR"/>
    <n v="250000"/>
    <m/>
    <m/>
    <m/>
    <m/>
    <m/>
    <s v="North"/>
    <x v="2"/>
  </r>
  <r>
    <x v="9"/>
    <d v="2020-05-12T00:00:00"/>
    <x v="434"/>
    <s v="Elbow Lake"/>
    <s v="Ramsey"/>
    <s v="MN"/>
    <s v="Elbow Lake, $250,000 AIR Grant (Airport Infrastructure Renewal)_x000a_This project will add a 4,800 square foot addition to an existing hanger. Prairie Air will use the hanger and plans to add five new full-time employees in the next five years. The total project cost is expected to be $610,000."/>
    <s v="WH"/>
    <n v="610000"/>
    <n v="5"/>
    <x v="0"/>
    <n v="4800"/>
    <x v="0"/>
    <x v="3"/>
    <s v="https://mn.gov/deed/newscenter/press-releases/?id=432987#/detail/appId/1/id/431748"/>
    <s v="DEED"/>
    <m/>
    <n v="55109"/>
    <n v="45.013233999999997"/>
    <n v="-93.029667000000003"/>
    <m/>
    <s v="AIR"/>
    <n v="250000"/>
    <m/>
    <m/>
    <m/>
    <m/>
    <m/>
    <s v="Metro"/>
    <x v="2"/>
  </r>
  <r>
    <x v="9"/>
    <d v="2020-05-13T00:00:00"/>
    <x v="416"/>
    <s v="Lakeville"/>
    <s v="Dakota"/>
    <s v="MN"/>
    <s v="FedEx Corp. is planning to nearly double the size of the its Lakeville FedEx Freight facility that it built in 2015. _x000a__x000a_The Memphis-based delivery company received Planning Commission approvals last week for an 88,000-square-foot addition to its 93,600-square-foot warehouse located on a 46.5-acre parcel that is south of 215th St. W. and east of Dodd Boulevard, about two miles east of Interstate 35."/>
    <s v="WH"/>
    <m/>
    <m/>
    <x v="0"/>
    <n v="88000"/>
    <x v="0"/>
    <x v="3"/>
    <s v="https://www.bizjournals.com/twincities/news/2020/05/13/fedex-plans-expansion-of-lakeville-facility.html"/>
    <s v="MSP Business Journal"/>
    <s v="9331 217th St W"/>
    <n v="55044"/>
    <n v="44.635804999999998"/>
    <n v="-93.254170000000002"/>
    <m/>
    <m/>
    <m/>
    <m/>
    <m/>
    <m/>
    <m/>
    <m/>
    <s v="Metro"/>
    <x v="2"/>
  </r>
  <r>
    <x v="9"/>
    <d v="2020-05-31T00:00:00"/>
    <x v="435"/>
    <s v="Shoreview"/>
    <s v="Ramsey"/>
    <s v="MN"/>
    <s v="Tom Kennedy, president of TSI Inc., said production will be at maximum capacity for the rest of the year. Demand has increased nearly 4x for some of its key products such as: testers and sensors used to evaluate fit and performance of N95 respirators and sensors that monitor air flow in ventilators. Plans include more hiring and adding manufacturing equipment. TSI has 500 employees in Shoreview, and another 500 worldwide."/>
    <s v="MF"/>
    <m/>
    <m/>
    <x v="0"/>
    <m/>
    <x v="7"/>
    <x v="1"/>
    <s v="http://strib.mn/3cj96AZ"/>
    <s v="Star Tribune"/>
    <s v="500 Cardigan Rd,"/>
    <n v="55126"/>
    <n v="45.048780999999998"/>
    <n v="-93.122681"/>
    <m/>
    <m/>
    <m/>
    <m/>
    <m/>
    <m/>
    <m/>
    <m/>
    <s v="Metro"/>
    <x v="2"/>
  </r>
  <r>
    <x v="9"/>
    <d v="2020-06-01T00:00:00"/>
    <x v="436"/>
    <s v="Rochester"/>
    <s v="Olmsted"/>
    <s v="MN"/>
    <s v="Pace Dairy in Rochester is owned by Kroger Company, a Fortune 20 company, headquartered out of Cincinnati, OH. They are looking at moving up a 2021 expansion project to add a shredded cheese line to the Kroger network and it came down to their Rochester, MN plant or Crawfordsville, IN plant. It is a $7.5M project, projected to create 20 new FTEs. Funds will renovate the building renovations and purchase new equipment._x000a_Received $150K MIF Award, $175K JCF Award from DEED."/>
    <s v="MF"/>
    <n v="7350000"/>
    <n v="20"/>
    <x v="0"/>
    <m/>
    <x v="1"/>
    <x v="1"/>
    <s v="http://rochestercitymn.iqm2.com/Citizens/Detail_Meeting.aspx?ID=3765"/>
    <s v="City Council meeting, DEED"/>
    <s v="2700 Valleyhigh Dr NW"/>
    <n v="55901"/>
    <n v="44.052489999999999"/>
    <n v="-92.510176000000001"/>
    <s v="Government"/>
    <s v="JCF ($175K), MIF ($150K), Local ED ($200K)"/>
    <n v="525000"/>
    <m/>
    <m/>
    <m/>
    <m/>
    <m/>
    <s v="South"/>
    <x v="2"/>
  </r>
  <r>
    <x v="9"/>
    <d v="2020-06-02T00:00:00"/>
    <x v="437"/>
    <s v="Minneapolis"/>
    <s v="Hennepin"/>
    <s v="MN"/>
    <s v="Stitch Fix is slashing its California-based personal-shopping stylists as it seeks to replace its workforce with employees in states with lower labor costs. The stylists help customers of the subscription-based service select clothing items to try, and customers are charged for the items they retain. Stitch Fix plans to rehire 2,000 stylists in lower-cost labor areas such as Dallas and Austin, Texas, Pittsburgh, Cleveland and Minneapolis starting in the summer and into the next year. "/>
    <m/>
    <m/>
    <m/>
    <x v="0"/>
    <m/>
    <x v="32"/>
    <x v="5"/>
    <s v="https://www.bizjournals.com/twincities/news/2020/06/02/bay-area-personal-shopping-service-to-cut-1-400-em.html"/>
    <s v="MSP Business Journal"/>
    <m/>
    <n v="55401"/>
    <n v="44.984577000000002"/>
    <n v="-93.269097000000002"/>
    <m/>
    <m/>
    <m/>
    <m/>
    <m/>
    <s v="San Francisco"/>
    <s v="California"/>
    <m/>
    <s v="Metro"/>
    <x v="2"/>
  </r>
  <r>
    <x v="9"/>
    <d v="2020-06-04T00:00:00"/>
    <x v="438"/>
    <s v="Bloomington"/>
    <s v="Hennepin"/>
    <s v="MN"/>
    <s v="Interior remodel per Bloomington building permit report June 2020."/>
    <s v="OF"/>
    <n v="877000"/>
    <m/>
    <x v="0"/>
    <m/>
    <x v="0"/>
    <x v="0"/>
    <s v="https://www.bloomingtonmn.gov/bldg/permit-status-inspection-results-monthly-building-reports"/>
    <s v="City of Bloomington"/>
    <s v="7760 FRANCE AVE S"/>
    <n v="55435"/>
    <n v="44.860692999999998"/>
    <n v="-93.330611000000005"/>
    <m/>
    <m/>
    <m/>
    <m/>
    <m/>
    <m/>
    <m/>
    <m/>
    <s v="Metro"/>
    <x v="2"/>
  </r>
  <r>
    <x v="9"/>
    <d v="2020-06-09T00:00:00"/>
    <x v="368"/>
    <s v="St. Paul"/>
    <s v="Ramsey"/>
    <s v="MN"/>
    <s v="Duluth-based women's apparel retailer Maurices has confirmed it will open a technology center in the Osborn 370 tower. Maurices has signed a lease for 10,700 square feet — a full floor in the building — and plans to eventually have more than 30 employees and contractors in the space. The office will serve Maurices’ technology, analytics, security and development teams.  Maurices has its HQ in Duluth, 930 stores in in North America and a design office in New York City. "/>
    <s v="OF"/>
    <m/>
    <n v="30"/>
    <x v="0"/>
    <n v="10700"/>
    <x v="0"/>
    <x v="8"/>
    <s v="https://www.bizjournals.com/twincities/news/2020/06/09/maurices-st-paul-tech-office-osborn-370-tower.html#:~:text=3%3A00pm%20CDT-,Downtown%20St.,in%20the%20Osborn%20370%20tower.&amp;text=The%20Osborn%20370%20building%20is,by%20PAK%20Properties%20of%20St."/>
    <s v="MSP Business Journal"/>
    <s v="370 Wabasha St N,"/>
    <n v="55102"/>
    <n v="44.946398000000002"/>
    <n v="-93.093676000000002"/>
    <m/>
    <m/>
    <m/>
    <m/>
    <m/>
    <m/>
    <m/>
    <m/>
    <s v="Metro"/>
    <x v="2"/>
  </r>
  <r>
    <x v="9"/>
    <d v="2020-06-10T00:00:00"/>
    <x v="439"/>
    <s v="St. Paul"/>
    <s v="Ramsey"/>
    <s v="MN"/>
    <s v="Central Logic helps health systems and governments manage patient loads. Has leased a new 10,700 square feet office in the Osborn 370 tower. Led by CEO Angie Franks, a Twin Cities native, Central Logic is a growing health care software company from Utah.  The Twin Cities operations of 20 employees include remote workers and a handful in a coworking space. Central Logic will keep its Utah office. Employees total 80 people and growing, Planned growth will be in St. Paul — easily 40 or 50 employees, but likely more."/>
    <s v="OF"/>
    <m/>
    <n v="50"/>
    <x v="0"/>
    <n v="10700"/>
    <x v="25"/>
    <x v="9"/>
    <s v="https://www.bizjournals.com/twincities/news/2020/06/10/utah-health-tech-company-opening-st-paul.html#:~:text=A%20growing%20health%20care%20software,tower%20at%20370%20Wabasha%20St."/>
    <s v="MSP Business Journal"/>
    <s v="370 Wabasha St N"/>
    <n v="55102"/>
    <n v="44.946398000000002"/>
    <n v="-93.093676000000002"/>
    <m/>
    <m/>
    <m/>
    <m/>
    <m/>
    <m/>
    <s v="Utah"/>
    <m/>
    <s v="Metro"/>
    <x v="2"/>
  </r>
  <r>
    <x v="9"/>
    <d v="2020-06-10T00:00:00"/>
    <x v="440"/>
    <s v="Saint Paul"/>
    <s v="Ramsey"/>
    <s v="MN"/>
    <s v="From JCF records: $175K award for project that will cost about $735,000 and add 50 jobs. No further information on business or expansion available."/>
    <m/>
    <n v="734655"/>
    <n v="50"/>
    <x v="0"/>
    <m/>
    <x v="0"/>
    <x v="0"/>
    <s v="n/a"/>
    <s v="DEED (no other info)"/>
    <m/>
    <n v="55101"/>
    <n v="44.951483000000003"/>
    <n v="-93.090648999999999"/>
    <m/>
    <m/>
    <m/>
    <m/>
    <m/>
    <m/>
    <m/>
    <m/>
    <s v="Metro"/>
    <x v="2"/>
  </r>
  <r>
    <x v="9"/>
    <d v="2020-06-10T00:00:00"/>
    <x v="441"/>
    <s v="Worthington"/>
    <s v="Nobles"/>
    <s v="MN"/>
    <s v="Swift Pork Company, owned by JBS USA Holdings Inc., proposes to build an estimated 175,000- to 200,000-square-foot  $30 million freezer warehouse facility, which would create approximately 70 new jobs ranging from $17.05 to $21.30 per hour, plus benefits. The expansion could store up to 25 million pounds of frozen product and 2.5 million pounds of fresh product, increasing the plant’s overall production capacity. _x000a_update: JCF award $175K (7/17/20), MIF $450 (7/17/20)"/>
    <s v="MFG"/>
    <n v="30000000"/>
    <n v="68"/>
    <x v="0"/>
    <n v="200000"/>
    <x v="1"/>
    <x v="1"/>
    <s v="https://www.dglobe.com/news/government-and-politics/6528105-Council-approves-resolutions-for-JBS-freezer-facility-plan"/>
    <m/>
    <s v="1700 MN-60"/>
    <n v="56187"/>
    <n v="43.634849000000003"/>
    <n v="-95.570030000000003"/>
    <s v="Government"/>
    <s v="JCF $175K, MIF $450K"/>
    <n v="625000"/>
    <m/>
    <m/>
    <m/>
    <m/>
    <m/>
    <s v="South"/>
    <x v="2"/>
  </r>
  <r>
    <x v="9"/>
    <d v="2020-06-15T00:00:00"/>
    <x v="442"/>
    <s v="Bloomington"/>
    <s v="Hennepin"/>
    <s v="MN"/>
    <s v="Interior remodel per Bloomington building permit report June 2020.. Installation of a 560KWp roof mounted solar array"/>
    <m/>
    <n v="800000"/>
    <m/>
    <x v="0"/>
    <m/>
    <x v="47"/>
    <x v="11"/>
    <s v="https://www.bloomingtonmn.gov/bldg/permit-status-inspection-results-monthly-building-reports"/>
    <s v="City of Bloomington"/>
    <s v="7900 CHICAGO AVE S"/>
    <n v="55420"/>
    <n v="44.859059999999999"/>
    <n v="-93.264100999999997"/>
    <m/>
    <m/>
    <m/>
    <m/>
    <m/>
    <m/>
    <m/>
    <m/>
    <s v="Metro"/>
    <x v="2"/>
  </r>
  <r>
    <x v="9"/>
    <d v="2020-06-15T00:00:00"/>
    <x v="443"/>
    <s v="Minneapolis"/>
    <s v="Hennepin"/>
    <s v="MN"/>
    <s v="Accounting firm Wiplfi LLP will consolidate its two suburban offices in Edina and Lake Elmo into a single office in downtown Minneapolis. Has leased 32,500 square feet in Fifth Street Towers to accommodate Wipfli’s 185-plus Twin Cities employees.  Wipfli’s new office will be in the 150 Tower on the 19th and 20th floors.  Wipfli is scheduled to move in November although Covid-19 may still be a concern. Wipfli is an accounting and business consulting firm."/>
    <s v="OF"/>
    <m/>
    <m/>
    <x v="0"/>
    <n v="32500"/>
    <x v="10"/>
    <x v="4"/>
    <s v="https://www.bizjournals.com/twincities/news/2020/06/15/wiplfi-moving-from-edina-lake-elmo-to-minneapolis.html"/>
    <s v="MSP Business Journal"/>
    <s v="100 S 5th St"/>
    <n v="55402"/>
    <n v="44.978349999999999"/>
    <n v="-93.268628000000007"/>
    <m/>
    <m/>
    <m/>
    <m/>
    <m/>
    <s v="Milwaukee"/>
    <s v="Wisconsin"/>
    <m/>
    <s v="Metro"/>
    <x v="2"/>
  </r>
  <r>
    <x v="9"/>
    <d v="2020-06-18T00:00:00"/>
    <x v="444"/>
    <s v="Becker, various"/>
    <s v="Sherburne"/>
    <s v="MN"/>
    <s v="Xcel Energy plans to spend $3 billion on accelerated projects in Minnesota, including sizable solar and wind-power investments, in an effort to help lift the state's economy. Xcel's proposal includes at least $1 billion to repower four wind farms — a task that the company had previously scheduled over the next decade. It also plans to move ahead on a $650 million, 450MW solar plant in Becker; the solar array could be running by 2023. Projects would create about 5,000 jobs."/>
    <m/>
    <n v="3000000000"/>
    <n v="5000"/>
    <x v="0"/>
    <m/>
    <x v="48"/>
    <x v="18"/>
    <s v="https://www.bizjournals.com/twincities/news/2020/06/18/xcel-3b-renewable-energy-projects-minnesota.html"/>
    <s v="MSP Business Journal"/>
    <m/>
    <n v="55308"/>
    <n v="45.451864"/>
    <n v="-93.842186999999996"/>
    <m/>
    <m/>
    <m/>
    <m/>
    <m/>
    <m/>
    <m/>
    <m/>
    <s v="Central"/>
    <x v="2"/>
  </r>
  <r>
    <x v="9"/>
    <d v="2020-06-19T00:00:00"/>
    <x v="445"/>
    <s v="Minneapolis"/>
    <s v="Hennepin"/>
    <s v="MN"/>
    <s v="Bühler has opened its new Food Application Center (FAC) as the crowning moment of Bühler GO! 2020, its virtual networking and engagement event for food industry leaders. At this state-of-the-art center, Bühler aims to support and drive innovation  to create economically viable and sustainable food value chains in North America.  The investment reinforces Bühler's commitment to new and innovative approaches to education and workforce development."/>
    <s v="R&amp;D"/>
    <m/>
    <m/>
    <x v="0"/>
    <m/>
    <x v="1"/>
    <x v="1"/>
    <s v="https://www.buhlergroup.com/content/buhlergroup/global/en/media/media-releases/buehler_opens_newfoodapplicationcenterascollaborationvenueforcre.html"/>
    <s v="Company Website"/>
    <s v="13105 12th Ave N"/>
    <n v="55441"/>
    <n v="44.990468"/>
    <n v="-93.447700999999995"/>
    <m/>
    <m/>
    <m/>
    <m/>
    <s v="Buhler Group"/>
    <m/>
    <m/>
    <s v="Switzerland"/>
    <s v="Metro"/>
    <x v="2"/>
  </r>
  <r>
    <x v="9"/>
    <d v="2020-06-19T00:00:00"/>
    <x v="303"/>
    <s v="Bloomington"/>
    <s v="Hennepin"/>
    <s v="MN"/>
    <s v="Interior remodel per Bloomington building permit report June 2020.. Remodel of an existing cafeteria for Ziegler/CAT"/>
    <s v="MF"/>
    <n v="750000"/>
    <m/>
    <x v="0"/>
    <m/>
    <x v="4"/>
    <x v="1"/>
    <s v="https://www.bloomingtonmn.gov/bldg/permit-status-inspection-results-monthly-building-reports"/>
    <s v="City of Bloomington"/>
    <s v="901 W 94TH ST"/>
    <n v="55420"/>
    <n v="44.831665999999998"/>
    <n v="-93.291948000000005"/>
    <m/>
    <m/>
    <m/>
    <m/>
    <m/>
    <m/>
    <m/>
    <m/>
    <s v="Metro"/>
    <x v="2"/>
  </r>
  <r>
    <x v="9"/>
    <d v="2020-06-22T00:00:00"/>
    <x v="446"/>
    <s v="Bloomington"/>
    <s v="Hennepin"/>
    <s v="MN"/>
    <s v="Interior remodel per Bloomington building permit report June 2020. CNA Insurance - long term care insurance provider"/>
    <s v="OF"/>
    <n v="385336"/>
    <m/>
    <x v="0"/>
    <m/>
    <x v="0"/>
    <x v="6"/>
    <s v="https://www.bloomingtonmn.gov/bldg/permit-status-inspection-results-monthly-building-reports"/>
    <s v="City of Bloomington"/>
    <s v="5800 W 84TH ST"/>
    <n v="55437"/>
    <n v="44.854151999999999"/>
    <n v="-93.357275999999999"/>
    <m/>
    <m/>
    <m/>
    <m/>
    <m/>
    <m/>
    <m/>
    <m/>
    <s v="Metro"/>
    <x v="2"/>
  </r>
  <r>
    <x v="9"/>
    <d v="2020-06-22T00:00:00"/>
    <x v="447"/>
    <s v="Shakopee"/>
    <s v="Scott"/>
    <s v="MN"/>
    <s v="Greystone Construction, a general contractor with projects in more than 27 states, plans to break ground on its new 26,000 SF headquarters at Canterbury Commons this fall and expects to occupy the building in 2021. Growth has “dictated the need” for the company’s new corporate space. Greystone will build a two-story, 26,000-square-foot office building, the top floor will serve as the company's new headquarters. (First floor will be rented out.)"/>
    <s v="HQ"/>
    <m/>
    <m/>
    <x v="0"/>
    <n v="26000"/>
    <x v="0"/>
    <x v="11"/>
    <s v="https://finance-commerce.com/2020/06/greystone-to-build-new-hq-at-canterbury-commons/"/>
    <s v="Finance &amp; Commerce"/>
    <s v="500 S, Marschall Rd #300"/>
    <n v="55379"/>
    <n v="44.795411000000001"/>
    <n v="-93.508885000000006"/>
    <m/>
    <m/>
    <m/>
    <m/>
    <m/>
    <m/>
    <m/>
    <m/>
    <s v="Metro"/>
    <x v="2"/>
  </r>
  <r>
    <x v="9"/>
    <d v="2020-06-22T00:00:00"/>
    <x v="448"/>
    <s v="Bloomington"/>
    <s v="Hennepin"/>
    <s v="MN"/>
    <s v="Interior remodel per Bloomington building permit report June 2020. IDeaS (Integrated Decisions &amp; Solutions. SAS company. IDeaS revenue management solutions enhance your profitability using revenue science."/>
    <s v="OF"/>
    <n v="505750"/>
    <m/>
    <x v="0"/>
    <m/>
    <x v="25"/>
    <x v="9"/>
    <s v="https://www.bloomingtonmn.gov/bldg/permit-status-inspection-results-monthly-building-reports"/>
    <s v="City of Bloomington"/>
    <s v="5800 W 84TH ST"/>
    <n v="55437"/>
    <n v="44.854151999999999"/>
    <n v="-93.357275999999999"/>
    <m/>
    <m/>
    <m/>
    <m/>
    <m/>
    <m/>
    <m/>
    <m/>
    <s v="Metro"/>
    <x v="2"/>
  </r>
  <r>
    <x v="9"/>
    <d v="2020-06-24T00:00:00"/>
    <x v="449"/>
    <s v="Bloomington"/>
    <s v="Hennepin"/>
    <s v="MN"/>
    <s v="Interior remodel per Bloomington building permit report June 2020. Yukon Partners is a capital management firm."/>
    <s v="OF"/>
    <n v="355727"/>
    <m/>
    <x v="0"/>
    <m/>
    <x v="0"/>
    <x v="6"/>
    <s v="https://www.bloomingtonmn.gov/bldg/permit-status-inspection-results-monthly-building-reports"/>
    <s v="City of Bloomington"/>
    <s v="8300 NORMAN CENTER DR"/>
    <n v="55437"/>
    <n v="44.853110000000001"/>
    <n v="-93.353234999999998"/>
    <m/>
    <m/>
    <m/>
    <m/>
    <m/>
    <m/>
    <m/>
    <m/>
    <s v="Metro"/>
    <x v="2"/>
  </r>
  <r>
    <x v="9"/>
    <d v="2020-06-29T00:00:00"/>
    <x v="450"/>
    <s v="Willmar"/>
    <s v="Kandiyohi"/>
    <s v="MN"/>
    <s v="Jennie-O Turkey Store announced Friday in a news release that it is hiring 95 additional employees for its food production facilities based in Willmar. The company also announced that for a limited time, new hires can earn up to a $2,000 signing bonus."/>
    <s v="MF"/>
    <m/>
    <n v="95"/>
    <x v="0"/>
    <m/>
    <x v="1"/>
    <x v="1"/>
    <s v="https://www.newsbreak.com/minnesota/willmar/news/1593016537763/jennie-o-turkey-store-hiring-95-additional-employees-offering-signing-bonuses"/>
    <s v="News Break"/>
    <s v="2505 Willmar Ave SW,"/>
    <n v="56201"/>
    <n v="45.110613000000001"/>
    <n v="-95.077980999999994"/>
    <m/>
    <m/>
    <m/>
    <m/>
    <m/>
    <m/>
    <m/>
    <m/>
    <s v="Central"/>
    <x v="2"/>
  </r>
  <r>
    <x v="9"/>
    <d v="2020-06-30T00:00:00"/>
    <x v="451"/>
    <s v="Coon Rapids"/>
    <s v="Anoka"/>
    <s v="MN"/>
    <s v="Interior Remodel for medical office relocation at 3960 Coon Rapids Blvd Suites 200-220 (per 2020-Q2 Coon Rapids building permits report). Per Google,this is the Mercy Healthcare Center, and per leasing brochure from July 2019, Suites 200-220 represents the 2nd floor basically."/>
    <s v="OF"/>
    <n v="4004996"/>
    <m/>
    <x v="0"/>
    <m/>
    <x v="0"/>
    <x v="0"/>
    <s v="https://www.coonrapidsmn.gov/ArchiveCenter/ViewFile/Item/951"/>
    <s v="City of Coon Rapids"/>
    <s v="3960 Coon Rapids Blvd"/>
    <n v="55433"/>
    <n v="45.182861000000003"/>
    <n v="-93.367238"/>
    <m/>
    <m/>
    <m/>
    <m/>
    <m/>
    <m/>
    <m/>
    <m/>
    <s v="Metro"/>
    <x v="2"/>
  </r>
  <r>
    <x v="10"/>
    <d v="2020-07-01T00:00:00"/>
    <x v="214"/>
    <s v="Bloomington"/>
    <s v="Hennepin"/>
    <s v="MN"/>
    <s v="Logistics tech startup Dispatch has raised an $11.15 million Series B funding round.  Plans to hire more employees and expand to new markets. Dispatch provides on-demand logistics support for companies that need to deliver products like construction supplies or plumbing equipment to construction sites or other businesses. It relies on contracted drivers and has 107 employees. Dispatch hopes to grow its product and engineering teams to between double and triple their current size,"/>
    <m/>
    <m/>
    <m/>
    <x v="0"/>
    <m/>
    <x v="0"/>
    <x v="3"/>
    <s v="https://www.bizjournals.com/twincities/news/2020/07/01/dispatch-raises-11-million.html"/>
    <s v="MSP Business Journal"/>
    <s v="1401 W 94th St"/>
    <n v="55431"/>
    <n v="44.832459999999998"/>
    <n v="-93.297618"/>
    <m/>
    <m/>
    <m/>
    <m/>
    <m/>
    <m/>
    <m/>
    <m/>
    <s v="Metro"/>
    <x v="2"/>
  </r>
  <r>
    <x v="10"/>
    <d v="2020-07-07T00:00:00"/>
    <x v="452"/>
    <s v="Hastings"/>
    <s v="Dakota"/>
    <s v="MN"/>
    <s v="A South St. Paul company that’s grown from a small producer of cat litter pan liners and related products to a global maker of animal treats and supplies is moving to a vacant industrial building it has bought at 1100 Spiral Blvd. in Hastings."/>
    <m/>
    <n v="3200000"/>
    <m/>
    <x v="0"/>
    <m/>
    <x v="1"/>
    <x v="1"/>
    <s v="https://finance-commerce.com/2020/07/just-sold-royal-pet-pays-3-2-million-for-hastings-plant/"/>
    <s v="Finance &amp; Commerce"/>
    <s v="1100 Spiral Blvd"/>
    <n v="55033"/>
    <n v="44.719309000000003"/>
    <n v="-92.833173000000002"/>
    <m/>
    <m/>
    <m/>
    <m/>
    <m/>
    <m/>
    <m/>
    <m/>
    <s v="Metro"/>
    <x v="2"/>
  </r>
  <r>
    <x v="10"/>
    <d v="2020-07-09T00:00:00"/>
    <x v="453"/>
    <s v="Princeton"/>
    <s v="Sherburne"/>
    <s v="MN"/>
    <s v="Princeton was awarded a BDPI grant of  $310,000 to assist with the extension of 19th Avenue and utilities extensions to serve the expansion of Sylva Corporation, Inc.. Sylva is a supplier of mulch and wood chips. The project will retain 32 jobs and create 50 new jobs."/>
    <m/>
    <m/>
    <n v="50"/>
    <x v="9"/>
    <m/>
    <x v="24"/>
    <x v="1"/>
    <s v="https://mn.gov/deed/newscenter/press-releases/#/detail/appId/1/id/439491"/>
    <s v="DEED"/>
    <s v="900 Airport Rd"/>
    <n v="55371"/>
    <n v="45.558625999999997"/>
    <n v="-93.600301999999999"/>
    <s v="Government"/>
    <s v="BDPI"/>
    <n v="310000"/>
    <m/>
    <m/>
    <m/>
    <m/>
    <m/>
    <s v="Central"/>
    <x v="2"/>
  </r>
  <r>
    <x v="10"/>
    <d v="2020-07-09T00:00:00"/>
    <x v="444"/>
    <s v="Pequot Lakes"/>
    <s v="Crow Wing"/>
    <s v="MN"/>
    <s v="Pequot Lakes was awarded a BDPI grant of $164,700 to assist with the construction of a new street and utilities for a new industrial park that will serve two lots. Xcel Energy will be investing $4 million for a new warehouse, garage and offices. The project will retain 15 jobs and create 17 new jobs."/>
    <s v="WH, OF"/>
    <n v="4000000"/>
    <n v="17"/>
    <x v="10"/>
    <m/>
    <x v="0"/>
    <x v="17"/>
    <s v="https://mn.gov/deed/newscenter/press-releases/#/detail/appId/1/id/439491"/>
    <s v="DEED"/>
    <m/>
    <n v="56472"/>
    <n v="46.616146999999998"/>
    <n v="-94.235561000000004"/>
    <s v="Government"/>
    <s v="BDPI"/>
    <n v="164700"/>
    <m/>
    <m/>
    <m/>
    <m/>
    <m/>
    <s v="Central"/>
    <x v="2"/>
  </r>
  <r>
    <x v="10"/>
    <d v="2020-07-10T00:00:00"/>
    <x v="229"/>
    <s v="Owatonna"/>
    <s v="Steele"/>
    <s v="MN"/>
    <s v="Revol Greens is in the final stages of expanding its greenhouse to 10 acres, from an initial 2.5 acres. Owatonna-based Revol Greens is just weeks from completing an expansion that will quadruple production to more than 4 million pounds of hydroponic baby greens per year. In early June, Revol Greens entered a distribution agreement with Walmart. Revol Greens now has a workforce of between 50 and 60 employees in Medford, having added about 10 to 15 employees since work began on the expansion."/>
    <m/>
    <m/>
    <n v="15"/>
    <x v="0"/>
    <m/>
    <x v="0"/>
    <x v="14"/>
    <s v="https://www.bizjournals.com/twincities/news/2020/07/10/revol-greens-expands-medford-greenhouse.html?ana=e_me_prem&amp;j=90518469&amp;t=Morning&amp;mkt_tok=eyJpIjoiTlRaaFl6TXpPRFE0TURFNSIsInQiOiIwcHp6bVwvelhlTFwvZzdzYUtEUmdpeWZMaEpcL2YwTWF6VXJtZHlRTlwvRnVZSXZFeGMrZjlwNXJySEJoaFFDekRRUEV5S3VaQTRZSUVIXC9Qc2hGWk5rYXlPUXp0N2FhVVk4aFN3NDVXVUIxeHB4WXBRdUM1a2RCTE4rSWdsb0V1Z2x4In0%3D"/>
    <s v="MSP Business Journal"/>
    <s v="2781 NW 50th St"/>
    <n v="55060"/>
    <n v="44.145825000000002"/>
    <n v="-93.180071999999996"/>
    <m/>
    <m/>
    <m/>
    <m/>
    <m/>
    <m/>
    <m/>
    <m/>
    <s v="South"/>
    <x v="2"/>
  </r>
  <r>
    <x v="10"/>
    <d v="2020-07-13T00:00:00"/>
    <x v="454"/>
    <s v="Coon Rapids"/>
    <s v="Anoka"/>
    <s v="MN"/>
    <s v="Metro Storage is building its ninth Twin Cities storage facility in Coon Rapids. Expect structure to be completed next year. The $9-$10 million project involves building a three-story self-storage facility there that will have about 130,000 square feet of space for 908 units. _x000a_The 47-year-old Metro Storage separately operates 125 facilities in at least 12 states. Its Minnesota operations are in Bloomington, Maple Grove, Mound, Orono, Blaine, Burnsville, Mendota Heights and Eden Prairie."/>
    <m/>
    <n v="10000000"/>
    <m/>
    <x v="0"/>
    <n v="180000"/>
    <x v="49"/>
    <x v="2"/>
    <s v="https://www.startribune.com/metro-storage-to-build-908-unit-facility-in-coon-rapids/571750032/"/>
    <s v="Star Tribune"/>
    <s v="3021 124th Avenue"/>
    <n v="55433"/>
    <n v="45.196300999999998"/>
    <n v="-93.342622000000006"/>
    <m/>
    <m/>
    <m/>
    <m/>
    <m/>
    <m/>
    <m/>
    <m/>
    <s v="Metro"/>
    <x v="2"/>
  </r>
  <r>
    <x v="10"/>
    <d v="2020-07-14T00:00:00"/>
    <x v="24"/>
    <s v="Minneapolis"/>
    <s v="Hennepin"/>
    <s v="MN"/>
    <s v="Sezzle Inc. has raised $55 million through an institutional placement._x000a_Sezzle is a Minneapolis-based financial-technology company that provides a payment installment option for online retailers. It went public on the Australian Securities Exchange last year. If the funds raised, $14 million will allow Sezzle to hire new developers and build out its software capabilities, $11 million will fund expansion into Canada and other potential markets."/>
    <m/>
    <m/>
    <m/>
    <x v="0"/>
    <m/>
    <x v="3"/>
    <x v="4"/>
    <s v="https://www.bizjournals.com/twincities/news/2020/07/14/sezzle-raises-55-million-from-its-institutional.html"/>
    <s v="MSP Business Journal"/>
    <s v="251 N 1st Ave"/>
    <n v="55401"/>
    <n v="44.985892999999997"/>
    <n v="-93.269371000000007"/>
    <m/>
    <m/>
    <m/>
    <m/>
    <m/>
    <m/>
    <m/>
    <m/>
    <s v="Metro"/>
    <x v="2"/>
  </r>
  <r>
    <x v="10"/>
    <d v="2020-07-16T00:00:00"/>
    <x v="455"/>
    <s v="Bloomington"/>
    <s v="Hennepin"/>
    <s v="MN"/>
    <s v="Interior remodel per Bloomington building permit report July 2020. The project is a reconfiguration/remodeling of an existing 581,667 SF Best Buy Supply Chain Facility. The scope of work for Civil is new drive at northeast east entrance and reconfigured parking (separate parking lot permit). Architectural scope of work, new interior walls, ceiling, finishes, offices and toilets. Structural scope of work, new exterior overhead doors and loading dock."/>
    <s v="WH"/>
    <n v="3343680"/>
    <m/>
    <x v="0"/>
    <m/>
    <x v="0"/>
    <x v="8"/>
    <s v="https://www.bloomingtonmn.gov/bldg/permit-status-inspection-results-monthly-building-reports"/>
    <s v="City of Bloomington"/>
    <s v="6203 W 111TH ST, BLOOMINGTON, MN 55438"/>
    <n v="55438"/>
    <n v="44.800666"/>
    <n v="-93.361986000000002"/>
    <m/>
    <m/>
    <m/>
    <m/>
    <m/>
    <m/>
    <m/>
    <m/>
    <s v="Metro"/>
    <x v="2"/>
  </r>
  <r>
    <x v="10"/>
    <d v="2020-07-17T00:00:00"/>
    <x v="456"/>
    <s v="Bloomington"/>
    <s v="Hennepin"/>
    <s v="MN"/>
    <s v="Per Bloomington building permit report July 2020. Car dealership. DEMOLISH THE EXISTING SHOWROOM AND OFFICE MEZZANINE AREAS. CONSTRUCT A NEW TWO STORY SHOWROOM, WITH AN OFFICE AREA LOCATED IN THE MEZZANINE AREA."/>
    <s v="OF, RET"/>
    <n v="3000000"/>
    <m/>
    <x v="0"/>
    <m/>
    <x v="0"/>
    <x v="8"/>
    <s v="https://www.bloomingtonmn.gov/bldg/permit-status-inspection-results-monthly-building-reports"/>
    <s v="City of Bloomington"/>
    <s v="4901 AMERICAN BLVD W, BLOOMINGTON, MN 55437"/>
    <n v="55437"/>
    <n v="44.857568000000001"/>
    <n v="-93.343812999999997"/>
    <m/>
    <m/>
    <m/>
    <m/>
    <m/>
    <m/>
    <m/>
    <m/>
    <s v="Metro"/>
    <x v="2"/>
  </r>
  <r>
    <x v="10"/>
    <d v="2020-07-21T00:00:00"/>
    <x v="319"/>
    <s v="Duluth"/>
    <s v="St Louis"/>
    <s v="MN"/>
    <s v="Duluth City Council approves $1.3M tax abatement for Costco. St. Louis County could grant the retailer an additional $650K tax abatement to help fund improvements to public infrastructure. Once the 161,000 SF store is built, the property will have an estimated market value of $11.2 million, ratcheting up its property tax capacity. Expected to create 75 PT and 75 FT jobs. Construction is expected to start this fall and finish in 2021._x000a_Costco is prepared to invest about $40 million in Duluth."/>
    <s v="WH, RET"/>
    <n v="40000000"/>
    <n v="150"/>
    <x v="0"/>
    <n v="161000"/>
    <x v="0"/>
    <x v="8"/>
    <s v="https://www.startribune.com/duluth-city-council-approves-1-3m-tax-abatement-for-costco/571842641/"/>
    <s v="Star Tribune"/>
    <s v="4285 Haines Road"/>
    <n v="55811"/>
    <n v="46.821047"/>
    <n v="-92.175359999999998"/>
    <s v="Government"/>
    <s v="ED"/>
    <n v="1950000"/>
    <m/>
    <m/>
    <m/>
    <m/>
    <m/>
    <s v="North"/>
    <x v="2"/>
  </r>
  <r>
    <x v="10"/>
    <d v="2020-07-21T00:00:00"/>
    <x v="457"/>
    <s v="Windom "/>
    <s v="Cottonwood"/>
    <s v="MN"/>
    <s v="Oddson Underground, a drilling contractor, is considering a new office addition. A new addition would be a sizeable project at 36' by 92'. Project will help to retain existing employees and possibly add up to an additional 30 new employees. Oddson Underground has requested assistance with the expenses for moving the water hydrant tofacilitate their office addition project. _x000a_DEED update: JCF Award $100,000 9/25"/>
    <s v="OF"/>
    <n v="400000"/>
    <n v="5"/>
    <x v="0"/>
    <n v="3312"/>
    <x v="0"/>
    <x v="11"/>
    <s v="https://windom-mn.com/wp-content/uploads/2020/07/August-4-2020.pdf"/>
    <s v="City of Windom"/>
    <s v="50 16th St"/>
    <n v="56101"/>
    <n v="43.873260999999999"/>
    <n v="-95.111185000000006"/>
    <s v="Government"/>
    <s v="JCF"/>
    <s v=" $                   100,000.00 "/>
    <m/>
    <m/>
    <m/>
    <m/>
    <m/>
    <s v="South"/>
    <x v="2"/>
  </r>
  <r>
    <x v="10"/>
    <d v="2020-07-22T00:00:00"/>
    <x v="458"/>
    <s v="Bloomington"/>
    <s v="Hennepin"/>
    <s v="MN"/>
    <s v="Interior remodel per Bloomington building permit report July 2020. Avtex is a business consultant on customer experience strategy."/>
    <s v="OF"/>
    <n v="300000"/>
    <m/>
    <x v="0"/>
    <m/>
    <x v="10"/>
    <x v="4"/>
    <s v="https://www.bloomingtonmn.gov/bldg/permit-status-inspection-results-monthly-building-reports"/>
    <s v="City of Bloomington"/>
    <s v="3500 AMERICAN BLVD W, BLOOMINGTON, MN 55431"/>
    <n v="55431"/>
    <n v="44.858280000000001"/>
    <n v="-93.325306999999995"/>
    <m/>
    <m/>
    <m/>
    <m/>
    <m/>
    <m/>
    <m/>
    <m/>
    <s v="Metro"/>
    <x v="2"/>
  </r>
  <r>
    <x v="10"/>
    <d v="2020-07-23T00:00:00"/>
    <x v="459"/>
    <s v="Lino Lakes"/>
    <s v="Anoka"/>
    <s v="MN"/>
    <s v="A growing wire products maker has moved from leased space in Hugo to a larger, $4.55 million building it has acquired at 2300 Main St. in Lino Lakes. "/>
    <s v="MFG"/>
    <n v="4550000"/>
    <m/>
    <x v="0"/>
    <m/>
    <x v="27"/>
    <x v="1"/>
    <s v="https://finance-commerce.com/2020/07/just-sold-hugo-wire-company-moves-to-lino-lakes/"/>
    <s v="Finance &amp; Commerce"/>
    <s v="2300 Main St."/>
    <n v="55038"/>
    <n v="45.162677000000002"/>
    <n v="-93.023909000000003"/>
    <m/>
    <m/>
    <m/>
    <m/>
    <m/>
    <m/>
    <m/>
    <m/>
    <s v="Metro"/>
    <x v="2"/>
  </r>
  <r>
    <x v="10"/>
    <d v="2020-07-25T00:00:00"/>
    <x v="89"/>
    <s v="Edina"/>
    <s v="Hennepin"/>
    <s v="MN"/>
    <s v="Eagan-based Proozy.com has built as an e-commerce clearance store for excess, unsold inventory.  Sales are up 400 to 500%, which means Proozy will likely end next year with $140 million in sales. Proozy is looking to expand in the Edina area. The 65,000-square-foot location would house more warehouse space but also be a step similar to those taken by Amazon and other successful e-commerce businesses — a clicks-to-bricks retail store._x000a_Segal hopes to have it open by the holidays."/>
    <s v="WH"/>
    <m/>
    <m/>
    <x v="0"/>
    <n v="65000"/>
    <x v="0"/>
    <x v="8"/>
    <s v="https://www.startribune.com/with-switch-to-quarantine-style-twin-cities-retailers-left-with-unsold-clothes/571896912/"/>
    <s v="Star Tribune"/>
    <m/>
    <n v="55424"/>
    <n v="44.889687000000002"/>
    <n v="-93.349948999999995"/>
    <m/>
    <m/>
    <m/>
    <m/>
    <m/>
    <m/>
    <m/>
    <m/>
    <s v="Metro"/>
    <x v="2"/>
  </r>
  <r>
    <x v="10"/>
    <d v="2020-07-28T00:00:00"/>
    <x v="460"/>
    <s v="Saint Paul"/>
    <s v="Ramsey"/>
    <s v="MN"/>
    <s v="Eastman Kodak will receive a federal loan of $765 million to help reduce the country's reliance on other countries for ingredients used in generic drugs. The plan is to create a Kodak Pharmaceuticals division, adding 300 jobs in Rochester, N.Y., and 30 to 60 jobs in St. Paul. "/>
    <m/>
    <m/>
    <n v="60"/>
    <x v="0"/>
    <m/>
    <x v="28"/>
    <x v="1"/>
    <s v="https://www.startribune.com/kodak-expansion-fueled-by-765m-federal-loan-could-mean-60-jobs-in-st-paul/571933392/"/>
    <s v="Star Tribune"/>
    <m/>
    <n v="55101"/>
    <n v="44.951483000000003"/>
    <n v="-93.090648999999999"/>
    <s v="Government"/>
    <s v="Federal loan"/>
    <n v="765000000"/>
    <m/>
    <m/>
    <m/>
    <m/>
    <m/>
    <s v="Metro"/>
    <x v="2"/>
  </r>
  <r>
    <x v="10"/>
    <d v="2020-07-29T00:00:00"/>
    <x v="461"/>
    <s v="Minneapolis"/>
    <s v="Hennepin"/>
    <s v="MN"/>
    <s v="Techmate, a New York and Kansas City-based startup offering a SaaS platform for on-demand tech support, has raised $1.2 million and announced plans to further expand its presence throughout the Midwest.Techmate currently has technicians and clients in several other Midwest cities, including Minneapolis._x000a__x000a_Techmate plans to expand its team, mostly  in the Midwest. The company is hiring a sales director and will soon hire an engineering team."/>
    <m/>
    <m/>
    <m/>
    <x v="0"/>
    <m/>
    <x v="25"/>
    <x v="9"/>
    <s v="https://www.americaninno.com/minne/inno-news-minne/after-receiving-local-backing-techmate-plans-midwest-expansion/?mc_cid=1ead4f79cb&amp;mc_eid=f9b059d709"/>
    <s v="American Inno"/>
    <m/>
    <n v="55401"/>
    <n v="44.984577000000002"/>
    <n v="-93.269097000000002"/>
    <m/>
    <m/>
    <m/>
    <m/>
    <m/>
    <m/>
    <m/>
    <m/>
    <s v="Metro"/>
    <x v="2"/>
  </r>
  <r>
    <x v="10"/>
    <d v="2020-07-31T00:00:00"/>
    <x v="462"/>
    <s v="Chanhassen"/>
    <s v="Carver"/>
    <s v="MN"/>
    <s v="Retail Tech Inc., a maker and supplier of retail point of sale store fixtures and equipment, has moved to its newly-completed 190,000-square-foot building at 8600 Shelby Court in Chanhassen. Now it has sold the 60,982-square-foot building it outgrew at 1501 Park Road in Chanhassen to a new user from Chaska for $3.57 million."/>
    <s v="MFG, WH"/>
    <m/>
    <m/>
    <x v="0"/>
    <n v="129018"/>
    <x v="8"/>
    <x v="1"/>
    <s v="https://finance-commerce.com/2020/07/just-sold-retail-tech-finishes-new-building-sells-old-one/"/>
    <s v="Finance &amp; Commerce"/>
    <s v="8600 Shelby Court"/>
    <n v="55317"/>
    <n v="44.848255000000002"/>
    <n v="-93.584491"/>
    <m/>
    <m/>
    <m/>
    <m/>
    <m/>
    <m/>
    <m/>
    <m/>
    <s v="Metro"/>
    <x v="2"/>
  </r>
  <r>
    <x v="10"/>
    <d v="2020-08-05T00:00:00"/>
    <x v="312"/>
    <s v="Eden Prairie"/>
    <s v="Hennepin"/>
    <s v="MN"/>
    <s v="2020 Best Places to Work: Category: Medium - #2 Arctic Wolf Networks Inc How many jobs do you have open, and where do you post your job openings? 68 – www.arcticwolf.com/careers"/>
    <m/>
    <m/>
    <n v="68"/>
    <x v="0"/>
    <m/>
    <x v="3"/>
    <x v="4"/>
    <s v="https://www.bizjournals.com/twincities/news/2020/08/05/best-places-to-work-2020-arctic-wolf.html"/>
    <s v="MSP Business Journal"/>
    <s v="8939 Columbine Rd Suite 150,"/>
    <n v="55347"/>
    <n v="44.841734000000002"/>
    <n v="-93.441980999999998"/>
    <m/>
    <m/>
    <m/>
    <m/>
    <m/>
    <m/>
    <m/>
    <m/>
    <s v="Metro"/>
    <x v="2"/>
  </r>
  <r>
    <x v="10"/>
    <d v="2020-08-05T00:00:00"/>
    <x v="301"/>
    <s v="Golden Valley"/>
    <s v="Hennepin"/>
    <s v="MN"/>
    <s v="2020 Best Places to Work: Category: Medium - #10 Lockton Cos.. How many jobs do you have open, and where do you post your job openings? In Minneapolis alone we have nearly 10 open positions."/>
    <m/>
    <m/>
    <n v="10"/>
    <x v="0"/>
    <m/>
    <x v="36"/>
    <x v="6"/>
    <s v="https://www.bizjournals.com/twincities/news/2020/08/05/best-places-to-work-2020-lockton-cos.html"/>
    <s v="MSP Business Journal"/>
    <s v="5500 Wayzata Blvd"/>
    <n v="55416"/>
    <n v="44.971356999999998"/>
    <n v="-93.350282000000007"/>
    <m/>
    <m/>
    <m/>
    <m/>
    <m/>
    <m/>
    <m/>
    <m/>
    <s v="Metro"/>
    <x v="2"/>
  </r>
  <r>
    <x v="10"/>
    <d v="2020-08-05T00:00:00"/>
    <x v="463"/>
    <s v="Edina"/>
    <s v="Hennepin"/>
    <s v="MN"/>
    <s v="Digital consultancy Nerdery inked a deal earlier this year for 65,000 square feet of space at 7700 France Avenue in Edina. Nerdery will relocate from a Bloomington industrial park to its new space in September._x000a__x000a_The deal is the largest office lease signed this year in the Twin Cities office market. Minneapolis-based Studio KKChong designed the buildout of the new space"/>
    <s v="HQ, OF"/>
    <m/>
    <m/>
    <x v="0"/>
    <m/>
    <x v="0"/>
    <x v="4"/>
    <s v="https://tcbmag.com/nerdery-set-for-move-to-edina/"/>
    <s v="Twin Cities Business"/>
    <s v="7700 France Ave"/>
    <n v="55435"/>
    <n v="44.862889000000003"/>
    <n v="-93.331794000000002"/>
    <m/>
    <m/>
    <m/>
    <m/>
    <m/>
    <m/>
    <m/>
    <m/>
    <s v="Metro"/>
    <x v="2"/>
  </r>
  <r>
    <x v="10"/>
    <d v="2020-08-05T00:00:00"/>
    <x v="148"/>
    <s v="Minneapolis"/>
    <s v="Hennepin"/>
    <s v="MN"/>
    <s v="2020 Best Places to Work: Category: Medium - #1 phData. How many jobs do you have open, and where do you post your job openings? We currently have seven different profiles open between our U.S. and India locations; however, we'll typically hire multiple candidates for each of the core technical positions (senior data engineer, machine learning engineer and solutions architect). We post jobs via our website, as well as on LinkedIn."/>
    <m/>
    <m/>
    <m/>
    <x v="0"/>
    <m/>
    <x v="0"/>
    <x v="4"/>
    <s v="https://www.bizjournals.com/twincities/news/2020/08/05/best-places-to-work-2020-phdata.html"/>
    <s v="MSP Business Journal"/>
    <s v="400 S 4th St #401"/>
    <n v="55415"/>
    <n v="44.977536999999998"/>
    <n v="-93.263637000000003"/>
    <m/>
    <m/>
    <m/>
    <m/>
    <m/>
    <m/>
    <m/>
    <m/>
    <s v="Metro"/>
    <x v="2"/>
  </r>
  <r>
    <x v="10"/>
    <d v="2020-08-06T00:00:00"/>
    <x v="464"/>
    <s v="Minneapolis"/>
    <s v="Hennepin"/>
    <s v="MN"/>
    <s v="2020 Best Places to Work, Category: Large: How many jobs do you have open? As of June 17, we have 83 jobs available for application in the U.S."/>
    <m/>
    <m/>
    <n v="83"/>
    <x v="0"/>
    <m/>
    <x v="50"/>
    <x v="6"/>
    <s v="https://www.bizjournals.com/twincities/news/2020/08/06/best-places-to-work-2020-ameriprise-financial.html"/>
    <s v="MSP Business Journal"/>
    <s v="901 3rd Ave S"/>
    <n v="55402"/>
    <n v="44.972417999999998"/>
    <n v="-93.269480000000001"/>
    <m/>
    <m/>
    <m/>
    <m/>
    <m/>
    <m/>
    <m/>
    <m/>
    <s v="Metro"/>
    <x v="2"/>
  </r>
  <r>
    <x v="10"/>
    <d v="2020-08-06T00:00:00"/>
    <x v="333"/>
    <s v="Minneapolis"/>
    <s v="Hennepin"/>
    <s v="MN"/>
    <s v="2020 Best Places to Work, Category: Large: How many jobs do you have open?  We have 64 job openings as of June 18."/>
    <m/>
    <m/>
    <n v="64"/>
    <x v="0"/>
    <m/>
    <x v="50"/>
    <x v="6"/>
    <s v="https://www.bizjournals.com/twincities/news/2020/08/06/best-places-to-work-2020-rbc-wealth-management.html"/>
    <s v="MSP Business Journal"/>
    <s v="60 South 6th St"/>
    <n v="55402"/>
    <n v="44.977772000000002"/>
    <n v="-93.270821999999995"/>
    <m/>
    <m/>
    <m/>
    <m/>
    <m/>
    <m/>
    <m/>
    <m/>
    <s v="Metro"/>
    <x v="2"/>
  </r>
  <r>
    <x v="10"/>
    <d v="2020-08-06T00:00:00"/>
    <x v="223"/>
    <s v="Faribault"/>
    <s v="Rice"/>
    <s v="MN"/>
    <s v="2020 Best Places to Work, Category: Large: How many jobs do you have open?  We currently only have seven open positions, but look forward to opening that up more as we progress through the pandemic."/>
    <m/>
    <m/>
    <n v="7"/>
    <x v="0"/>
    <m/>
    <x v="0"/>
    <x v="1"/>
    <s v="https://www.bizjournals.com/twincities/news/2020/08/06/best-places-to-work-2020-sageglass.html"/>
    <s v="MSP Business Journal"/>
    <s v="2 Sage Way"/>
    <n v="55021"/>
    <n v="44.330658"/>
    <n v="-93.291892000000004"/>
    <m/>
    <m/>
    <m/>
    <m/>
    <m/>
    <m/>
    <m/>
    <m/>
    <s v="South"/>
    <x v="2"/>
  </r>
  <r>
    <x v="10"/>
    <d v="2020-08-06T00:00:00"/>
    <x v="336"/>
    <s v="Willmar"/>
    <s v="Kandiyohi"/>
    <s v="MN"/>
    <s v="2020 Best Places to Work, Category: Large: How many jobs do you have open? We currently have 43 job openings"/>
    <m/>
    <m/>
    <n v="43"/>
    <x v="0"/>
    <m/>
    <x v="14"/>
    <x v="7"/>
    <s v="https://www.bizjournals.com/twincities/news/2020/08/06/best-places-to-work-2020-tpi-hospitality.html"/>
    <s v="MSP Business Journal"/>
    <s v="103 15th Ave NW"/>
    <n v="56201"/>
    <n v="45.138036"/>
    <n v="-95.043182000000002"/>
    <m/>
    <m/>
    <m/>
    <m/>
    <m/>
    <m/>
    <m/>
    <m/>
    <s v="Central"/>
    <x v="2"/>
  </r>
  <r>
    <x v="10"/>
    <d v="2020-08-10T00:00:00"/>
    <x v="465"/>
    <s v="Saint Paul"/>
    <s v="Ramsey"/>
    <s v="MN"/>
    <s v="US Army Corps is relocating its offices within downtown St. Paul and has signed a lease for 80,000 square feet in the building that will make the U.S. Army Corps the second-largest tenant in the property. The move will include a $10 million buildout on floors 7 through 15. The Corps which will move about 300 people to the First National Bank building."/>
    <s v="OF"/>
    <n v="10000000"/>
    <m/>
    <x v="0"/>
    <m/>
    <x v="51"/>
    <x v="19"/>
    <s v="https://www.bizjournals.com/twincities/news/2020/08/10/us-army-corps-of-engineers-first-national-bank.html"/>
    <s v="MSP Business Journal"/>
    <s v="332 Minnesota St"/>
    <n v="55101"/>
    <n v="44.946294999999999"/>
    <n v="-93.091271000000006"/>
    <m/>
    <m/>
    <m/>
    <m/>
    <m/>
    <m/>
    <m/>
    <m/>
    <s v="Metro"/>
    <x v="2"/>
  </r>
  <r>
    <x v="10"/>
    <d v="2020-08-11T00:00:00"/>
    <x v="466"/>
    <s v="Saint Paul"/>
    <s v="Ramsey"/>
    <s v="MN"/>
    <s v="How much wood does Woodchuck USA chuck to make its unique line of gifts?_x000a__x000a_Enough that founder and CEO Ben VandenWymelenberg is moving it out of its startup space in former Ry-Krisp factory in Minneapolis and buying a larger plant in St. Paul._x000a__x000a_Woodchuck Industrial LLC, an entity related to the wood crafter, closed Aug. 5 on the $3.075 million acquisition of the 50,056-square-foot Class C industrial building at 274 Fillmore Ave. E. "/>
    <s v="HQ, MFG"/>
    <n v="3075000"/>
    <m/>
    <x v="0"/>
    <n v="50056"/>
    <x v="24"/>
    <x v="1"/>
    <s v="https://finance-commerce.com/2020/08/just-sold-woodchuck-usa-buys-vomelas-former-hq/"/>
    <s v="Finance &amp; Commerce"/>
    <s v="274 Fillmore Ave. E"/>
    <n v="55107"/>
    <n v="44.942793999999999"/>
    <n v="-93.078702000000007"/>
    <m/>
    <m/>
    <m/>
    <m/>
    <m/>
    <m/>
    <m/>
    <m/>
    <s v="Metro"/>
    <x v="2"/>
  </r>
  <r>
    <x v="10"/>
    <d v="2020-08-17T00:00:00"/>
    <x v="467"/>
    <s v="Minneapolis"/>
    <s v="Hennepin"/>
    <s v="MN"/>
    <s v="Health insurance startup Bind Benefits Inc. has hired around 100 people during the summer — significantly more than expected._x000a__x000a_In April, Bind expected to hire between 50 and 80 employees during the summer. In fact, Bind hired and onboarded 100, including 30 new employees and 70 full-time contractors, bringing Bind's total headcount to 350. Bind is still hiring. Bind contracts with employers to offer &quot;on-demand&quot; insurance to employees: members pay only for procedures that they need."/>
    <s v="OF"/>
    <m/>
    <n v="100"/>
    <x v="0"/>
    <m/>
    <x v="36"/>
    <x v="6"/>
    <s v="https://www.bizjournals.com/twincities/news/2020/08/14/bind-benefits-insurance-enrollment-period-double.html"/>
    <s v="MSP Business Journal"/>
    <s v="3033 Excelsior Blvd"/>
    <n v="55416"/>
    <n v="44.947372999999999"/>
    <n v="-93.318464000000006"/>
    <m/>
    <m/>
    <m/>
    <m/>
    <m/>
    <m/>
    <m/>
    <m/>
    <s v="Metro"/>
    <x v="2"/>
  </r>
  <r>
    <x v="10"/>
    <d v="2020-08-19T00:00:00"/>
    <x v="468"/>
    <s v="Willmar"/>
    <s v="Kandiyohi"/>
    <s v="MN"/>
    <s v="DI Labs began in 2013 in Spicer, but as their 3-D printing equipment evolved, the business they outgrew their space. The new, larger location in Willmar has been fully operating for a month. Cutting-edge technology was used to respond to a shortage of medical equipment caused by COVID-19, including printing face shields that fit over a hard hat. At the heart of the 20,000-square-foot building designs are developed by the engineering team and produced by about 25 different 3-D printers in spotless rooms."/>
    <s v="HQ, MFG, R&amp;D"/>
    <m/>
    <m/>
    <x v="0"/>
    <n v="20000"/>
    <x v="2"/>
    <x v="1"/>
    <s v="https://www.duluthnewstribune.com/business/manufacturing/6624259-Minnesota-company-could-be-game-changer-in-digital-manufacturing"/>
    <s v="Duluth News Tribune"/>
    <s v="1740 45th St SE"/>
    <n v="56201"/>
    <n v="45.106842999999998"/>
    <n v="-94.982282999999995"/>
    <m/>
    <m/>
    <m/>
    <m/>
    <m/>
    <m/>
    <m/>
    <m/>
    <s v="Central"/>
    <x v="2"/>
  </r>
  <r>
    <x v="10"/>
    <d v="2020-08-20T00:00:00"/>
    <x v="469"/>
    <s v="Bloomington"/>
    <s v="Hennepin"/>
    <s v="MN"/>
    <s v="August building permit report by Bloomington. Office renovation of a select portion of Thermo King's office."/>
    <s v="OF"/>
    <n v="4250000"/>
    <m/>
    <x v="0"/>
    <m/>
    <x v="22"/>
    <x v="1"/>
    <s v="https://www.bloomingtonmn.gov/bldg/permit-status-inspection-results-monthly-building-reports"/>
    <s v="City of Bloomington"/>
    <s v="314 W 90TH ST, BLOOMINGTON, MN 55420"/>
    <n v="55420"/>
    <n v="44.842655000000001"/>
    <n v="-93.284991000000005"/>
    <m/>
    <m/>
    <m/>
    <m/>
    <m/>
    <m/>
    <m/>
    <m/>
    <s v="Metro"/>
    <x v="2"/>
  </r>
  <r>
    <x v="10"/>
    <d v="2020-08-24T00:00:00"/>
    <x v="470"/>
    <s v="St. Louis Park"/>
    <s v="Hennepin"/>
    <s v="MN"/>
    <s v="Bridgewater Bancshares, long based in Bloomington, is now headquartered in St. Louis Park. The bank officially opened its new headquarters Monday at 4450 Excelsior Blvd. The building is roughly 84,000 square feet and cost about $40 million to develop, said CEO Jerry Baack. The space will house around 100 of Bridgewater's employees with space for another 150 more if it becomes necessary. "/>
    <s v="HQ, OF"/>
    <n v="40000000"/>
    <m/>
    <x v="0"/>
    <n v="40000"/>
    <x v="50"/>
    <x v="6"/>
    <s v="https://www.bizjournals.com/twincities/news/2020/08/24/bremer-bank-opens-new-headquarters-in-st-louis-pa.html"/>
    <s v="MSP Business Journal"/>
    <s v="4450 Excelsior Blvd UNIT 100,"/>
    <n v="55416"/>
    <n v="44.934489999999997"/>
    <n v="-93.352440000000001"/>
    <m/>
    <m/>
    <m/>
    <m/>
    <m/>
    <m/>
    <m/>
    <m/>
    <s v="Metro"/>
    <x v="2"/>
  </r>
  <r>
    <x v="10"/>
    <d v="2020-08-28T00:00:00"/>
    <x v="455"/>
    <s v="Richfield, various in US"/>
    <s v="Hennepin"/>
    <s v="MN"/>
    <s v="Best Buy plans on hiring more than 1,000 new tech employees in the next two years — and 30% will be people of color or women. The new hiring plan includes engineers and product managers, and is one of several steps to address disparities within the tech industry. Best Buy has brought about two-thirds of 51,000 employees furloughed in spring, back to work. Its new hires will extend beyond the Twin Cities to also include remote, full-time opportunities outside of MN."/>
    <m/>
    <m/>
    <m/>
    <x v="0"/>
    <m/>
    <x v="0"/>
    <x v="8"/>
    <s v="https://www.startribune.com/best-buy-says-30-of-1-000-new-tech-hires-will-be-people-of-color-or-women/572253542/"/>
    <s v="Star Tribune"/>
    <s v="7601 Penn Ave S,"/>
    <n v="55423"/>
    <n v="44.863926999999997"/>
    <n v="-93.305441000000002"/>
    <m/>
    <m/>
    <m/>
    <m/>
    <m/>
    <m/>
    <m/>
    <m/>
    <s v="Metro"/>
    <x v="2"/>
  </r>
  <r>
    <x v="10"/>
    <d v="2020-09-03T00:00:00"/>
    <x v="471"/>
    <s v="St Louis Park"/>
    <s v="Hennepin"/>
    <s v="MN"/>
    <s v="Ear Nose &amp; Throat Specialty Care (ENT) will take most of the second floor of the 3-story Xchange Medical building being constructed by real estate firm Davis. Davis breaks ground next month on a 78,000-square-foot medical office building in St. Louis Park.  In the new office, ENT will consolidate its several speciality services around the metro._x000a_Construction, which is expected to cost $20 million for the building shell and two tenant finishes, should be wrapped up by November 2021."/>
    <s v="OF"/>
    <m/>
    <m/>
    <x v="0"/>
    <m/>
    <x v="0"/>
    <x v="0"/>
    <s v="https://www.bizjournals.com/twincities/news/2020/09/03/davis-medical-office-stlouispark-groundbreaking.html"/>
    <s v="MSP Business Journal"/>
    <s v="6111 Wayzata Blvd"/>
    <n v="55416"/>
    <n v="44.971412000000001"/>
    <n v="-93.359583000000001"/>
    <m/>
    <m/>
    <m/>
    <m/>
    <m/>
    <m/>
    <m/>
    <m/>
    <s v="Metro"/>
    <x v="2"/>
  </r>
  <r>
    <x v="10"/>
    <d v="2020-09-03T00:00:00"/>
    <x v="472"/>
    <s v="St. Louis Park"/>
    <s v="Hennepin"/>
    <s v="MN"/>
    <s v="Surgical Care Affiliates is taking the the top floor of the three-story Xchange Medical building for a surgery center being constructed by real estate firm Davis. Davis breaks ground next month on a 78,000-square-foot medical office building in St. Louis Park. The  SCA has 210 surgical facilities, including one in Davis’s building in Maplewood.  _x000a_Construction, which is expected to cost $20 million for the building shell and two tenant finishes, should be wrapped up by November 2021."/>
    <s v="OF"/>
    <m/>
    <m/>
    <x v="0"/>
    <m/>
    <x v="0"/>
    <x v="0"/>
    <s v="https://www.bizjournals.com/twincities/news/2020/09/03/davis-medical-office-stlouispark-groundbreaking.html"/>
    <s v="MSP Business Journal"/>
    <s v="6111 Wayzata Blvd"/>
    <n v="55416"/>
    <n v="44.971412000000001"/>
    <n v="-93.359583000000001"/>
    <m/>
    <m/>
    <m/>
    <m/>
    <m/>
    <m/>
    <m/>
    <m/>
    <s v="Metro"/>
    <x v="2"/>
  </r>
  <r>
    <x v="10"/>
    <d v="2020-09-14T00:00:00"/>
    <x v="473"/>
    <s v="Albert Lea"/>
    <s v="Freeborn"/>
    <s v="MN"/>
    <s v="Cargill Meat Solutions has plans to invest approximately $25 million into their existing Albert Lea location to diversify and expand product offerings. The upgrades will result in an increase in local tax dollars as well as additional jobs. _x000a__x000a_DEED Update: JCF $175K , 9/25/20"/>
    <s v="MFG"/>
    <n v="24000000"/>
    <n v="5"/>
    <x v="0"/>
    <m/>
    <x v="1"/>
    <x v="1"/>
    <s v="https://www.cityofalbertlea.org/september-14-2020/"/>
    <s v="City of Albert Lea"/>
    <s v="702 E 13th St,"/>
    <n v="56007"/>
    <n v="43.625591"/>
    <n v="-93.356857000000005"/>
    <s v="Government"/>
    <s v="JCF"/>
    <s v="$                   175,000.00 "/>
    <m/>
    <m/>
    <m/>
    <m/>
    <m/>
    <s v="South"/>
    <x v="2"/>
  </r>
  <r>
    <x v="10"/>
    <d v="2020-09-14T00:00:00"/>
    <x v="474"/>
    <s v="Minneapolis"/>
    <s v="Hennepin"/>
    <s v="MN"/>
    <s v="Deluxe Corp. has signed a lease for 94,000 square feet to relocate its headquarters from Shoreview to downtown Minneapolis. 538 employees could move downtown when the space is ready in the fall of 2021.`_x000a_The business-technology company is building out a new headquarters inside of the 801 Marquette building. Deluxe signed a 16-year lease to occupy the top two floors of the building as well as one in the connected tower, which will be accessed through a new, private elevator._x000a_DEED Update: 9/4/20 $1M MIF"/>
    <s v="OF"/>
    <n v="10162030"/>
    <m/>
    <x v="0"/>
    <m/>
    <x v="50"/>
    <x v="6"/>
    <s v="https://tcbmag.com/deluxe-corp-moving-hq-to-downtown-minneapolis/"/>
    <s v="Twin Cities Business"/>
    <s v="801 Marquette"/>
    <n v="55401"/>
    <n v="44.984577000000002"/>
    <n v="-93.269097000000002"/>
    <s v="Government"/>
    <s v="MIF?"/>
    <n v="1000000"/>
    <m/>
    <m/>
    <m/>
    <m/>
    <m/>
    <s v="Metro"/>
    <x v="2"/>
  </r>
  <r>
    <x v="10"/>
    <d v="2020-09-15T00:00:00"/>
    <x v="475"/>
    <s v="Eagan"/>
    <s v="Dakota"/>
    <s v="MN"/>
    <s v="Ecolab has been in Eagan since 1969. Its Global Research, Development and Engineering Center opened in Eagan in 2005 and is its main hub of innovation. _x000a_The proposed project creates a new Pilot Plant and Prototype Lab at an existing 22,065 SF leased space. The project will create 14 new full-time jobs paying at an average $75,000 or more and invest a $3.9 million capital investment. Assistance from the JCF program will play a role in the decision where to implement the project (Eagan vs. Georgia)._x000a__x000a_DEED. JCF Award $165,000. 14 new jobs paying average wages of $36.64/hr."/>
    <s v="RD"/>
    <n v="3920750"/>
    <n v="14"/>
    <x v="0"/>
    <n v="22000"/>
    <x v="28"/>
    <x v="1"/>
    <s v="https://eagan.granicus.com/MetaViewer.php?view_id=8&amp;clip_id=2074&amp;meta_id=109209"/>
    <s v="City of Eagan, DEED"/>
    <s v="655 Lone Oak Dr"/>
    <n v="55121"/>
    <n v="44.852012999999999"/>
    <n v="-93.113997999999995"/>
    <s v="Government"/>
    <s v="JCF"/>
    <n v="165000"/>
    <m/>
    <m/>
    <m/>
    <m/>
    <m/>
    <s v="Metro"/>
    <x v="2"/>
  </r>
  <r>
    <x v="10"/>
    <d v="2020-09-15T00:00:00"/>
    <x v="476"/>
    <s v="Moorhead"/>
    <s v="Clay"/>
    <s v="MN"/>
    <s v="Vireo's existing cannabis patient centers in Minneapolis, Bloomington, Rochester and Moorhead are being renovated to create a best-in-class patient experience. The company is also opening two new locations in Blaine and Hermantown by November, with a location in Burnsville and Woodbury expected to open by the end of the year._x000a__x000a_The new locations will serve large population centers that don't have immediate access to medicinal cannabis, said Vireo Health CEO and Founder Dr. Kyle Kingsley."/>
    <m/>
    <m/>
    <m/>
    <x v="0"/>
    <m/>
    <x v="0"/>
    <x v="0"/>
    <s v="https://www.bizjournals.com/twincities/news/2020/09/15/minnesota-medical-solutions-rebrands-to.html"/>
    <s v="MSP Business Journal"/>
    <m/>
    <n v="56560"/>
    <n v="46.842027999999999"/>
    <n v="-96.735562999999999"/>
    <m/>
    <m/>
    <m/>
    <s v="x"/>
    <s v="Vireo Health International"/>
    <s v="Vancouver"/>
    <s v="British Columbia"/>
    <s v="CANADA"/>
    <s v="Central"/>
    <x v="2"/>
  </r>
  <r>
    <x v="10"/>
    <d v="2020-09-15T00:00:00"/>
    <x v="476"/>
    <s v="Rochester"/>
    <s v="Olmsted"/>
    <s v="MN"/>
    <s v="Vireo's existing cannabis patient centers in Minneapolis, Bloomington, Rochester and Moorhead are being renovated to create a best-in-class patient experience. The company is also opening two new locations in Blaine and Hermantown by November, with a location in Burnsville and Woodbury expected to open by the end of the year._x000a__x000a_The new locations will serve large population centers that don't have immediate access to medicinal cannabis, said Vireo Health CEO and Founder Dr. Kyle Kingsley."/>
    <m/>
    <m/>
    <m/>
    <x v="0"/>
    <m/>
    <x v="0"/>
    <x v="0"/>
    <s v="https://www.bizjournals.com/twincities/news/2020/09/15/minnesota-medical-solutions-rebrands-to.html"/>
    <s v="MSP Business Journal"/>
    <m/>
    <n v="55901"/>
    <n v="44.075285000000001"/>
    <n v="-92.516915999999995"/>
    <m/>
    <m/>
    <m/>
    <s v="x"/>
    <s v="Vireo Health International"/>
    <s v="Vancouver"/>
    <s v="British Columbia"/>
    <s v="CANADA"/>
    <s v="South"/>
    <x v="2"/>
  </r>
  <r>
    <x v="10"/>
    <d v="2020-09-15T00:00:00"/>
    <x v="476"/>
    <s v="Bloomington"/>
    <s v="Steele"/>
    <s v="MN"/>
    <s v="Vireo's existing cannabis patient centers in Minneapolis, Bloomington, Rochester and Moorhead are being renovated to create a best-in-class patient experience. The company is also opening two new locations in Blaine and Hermantown by November, with a location in Burnsville and Woodbury expected to open by the end of the year._x000a__x000a_The new locations will serve large population centers that don't have immediate access to medicinal cannabis, said Vireo Health CEO and Founder Dr. Kyle Kingsley."/>
    <m/>
    <m/>
    <m/>
    <x v="0"/>
    <m/>
    <x v="0"/>
    <x v="0"/>
    <s v="https://www.bizjournals.com/twincities/news/2020/09/15/minnesota-medical-solutions-rebrands-to.html"/>
    <s v="MSP Business Journal"/>
    <m/>
    <n v="55917"/>
    <n v="43.866630000000001"/>
    <n v="-93.051029999999997"/>
    <m/>
    <m/>
    <m/>
    <s v="x"/>
    <s v="Vireo Health International"/>
    <s v="Vancouver"/>
    <s v="British Columbia"/>
    <s v="CANADA"/>
    <s v="South"/>
    <x v="2"/>
  </r>
  <r>
    <x v="10"/>
    <d v="2020-09-15T00:00:00"/>
    <x v="476"/>
    <s v="Minneapolis"/>
    <s v="Hennepin"/>
    <s v="MN"/>
    <s v="Vireo's existing cannabis patient centers in Minneapolis, Bloomington, Rochester and Moorhead are being renovated to create a best-in-class patient experience. The company is also opening two new locations in Blaine and Hermantown by November, with a location in Burnsville and Woodbury expected to open by the end of the year._x000a__x000a_The new locations will serve large population centers that don't have immediate access to medicinal cannabis, said Vireo Health CEO and Founder Dr. Kyle Kingsley."/>
    <m/>
    <m/>
    <m/>
    <x v="0"/>
    <m/>
    <x v="0"/>
    <x v="0"/>
    <s v="https://www.bizjournals.com/twincities/news/2020/09/15/minnesota-medical-solutions-rebrands-to.html"/>
    <s v="MSP Business Journal"/>
    <m/>
    <n v="55401"/>
    <n v="44.984577000000002"/>
    <n v="-93.269097000000002"/>
    <m/>
    <m/>
    <m/>
    <s v="x"/>
    <s v="Vireo Health International"/>
    <s v="Vancouver"/>
    <s v="British Columbia"/>
    <s v="CANADA"/>
    <s v="Metro"/>
    <x v="2"/>
  </r>
  <r>
    <x v="10"/>
    <d v="2020-09-15T00:00:00"/>
    <x v="476"/>
    <s v="Burnsville"/>
    <s v="Dakota"/>
    <s v="MN"/>
    <s v="Vireo's existing cannabis patient centers in Minneapolis, Bloomington, Rochester and Moorhead are being renovated to create a best-in-class patient experience. The company is also opening two new locations in Blaine and Hermantown by November, with a location in Burnsville and Woodbury expected to open by the end of the year._x000a__x000a_The new locations will serve large population centers that don't have immediate access to medicinal cannabis, said Vireo Health CEO and Founder Dr. Kyle Kingsley."/>
    <m/>
    <m/>
    <m/>
    <x v="0"/>
    <m/>
    <x v="0"/>
    <x v="0"/>
    <s v="https://www.bizjournals.com/twincities/news/2020/09/15/minnesota-medical-solutions-rebrands-to.html"/>
    <s v="MSP Business Journal"/>
    <m/>
    <n v="55306"/>
    <n v="44.730944000000001"/>
    <n v="-93.291381000000001"/>
    <m/>
    <m/>
    <m/>
    <s v="x"/>
    <s v="Vireo Health International"/>
    <s v="Vancouver"/>
    <s v="British Columbia"/>
    <s v="CANADA"/>
    <s v="Metro"/>
    <x v="2"/>
  </r>
  <r>
    <x v="10"/>
    <d v="2020-09-15T00:00:00"/>
    <x v="476"/>
    <s v="Woodbury"/>
    <s v="Washington"/>
    <s v="MN"/>
    <s v="Vireo's existing cannabis patient centers in Minneapolis, Bloomington, Rochester and Moorhead are being renovated to create a best-in-class patient experience. The company is also opening two new locations in Blaine and Hermantown by November, with a location in Burnsville and Woodbury expected to open by the end of the year._x000a__x000a_The new locations will serve large population centers that don't have immediate access to medicinal cannabis, said Vireo Health CEO and Founder Dr. Kyle Kingsley."/>
    <m/>
    <m/>
    <m/>
    <x v="0"/>
    <m/>
    <x v="0"/>
    <x v="0"/>
    <s v="https://www.bizjournals.com/twincities/news/2020/09/15/minnesota-medical-solutions-rebrands-to.html"/>
    <s v="MSP Business Journal"/>
    <m/>
    <n v="55125"/>
    <n v="44.923855000000003"/>
    <n v="-92.959379999999996"/>
    <m/>
    <m/>
    <m/>
    <s v="x"/>
    <s v="Vireo Health International"/>
    <s v="Vancouver"/>
    <s v="British Columbia"/>
    <s v="CANADA"/>
    <s v="Metro"/>
    <x v="2"/>
  </r>
  <r>
    <x v="10"/>
    <d v="2020-09-23T00:00:00"/>
    <x v="477"/>
    <s v="Delano"/>
    <s v="Wright"/>
    <s v="MN"/>
    <s v="Trelleborg Healthcare &amp; Medical recently announced that it has completed an expansion at its Delano, Minn.–based manufacturing facility. The expansion includes a 6,000-ft2 ISO Class 7 cleanroom and enhanced silicone molding and contract manufacturing capabilities._x000a__x000a_The expansion is a response to increased demand that Trelleborg has been seeing for silicone-molded components.Trelleborg acquired the facility through its purchase of Sil-Pro in early 2019. Sweden-based Trelleborg was acquired by Japan-based Yokohama Rubber in 2022."/>
    <s v="MFG"/>
    <m/>
    <m/>
    <x v="0"/>
    <n v="6000"/>
    <x v="2"/>
    <x v="1"/>
    <s v="https://www.tss.trelleborg.com/en/news-and-events/news/trelleborg-expands-silicone-molding-capacity-at-delano"/>
    <s v="Company website"/>
    <s v="740 7th St S"/>
    <n v="55328"/>
    <n v="45.029896999999998"/>
    <n v="-93.781816000000006"/>
    <m/>
    <m/>
    <m/>
    <s v="x"/>
    <s v="Trelleborg Healthcare &amp; Medical"/>
    <m/>
    <m/>
    <s v="Sweden"/>
    <s v="Central"/>
    <x v="2"/>
  </r>
  <r>
    <x v="10"/>
    <d v="2020-09-25T00:00:00"/>
    <x v="478"/>
    <s v="Minneapolis"/>
    <s v="Hennepin"/>
    <s v="MN"/>
    <s v="Fulcrumpro Inc., a Minneapolis-based software-as-a-service company that supports the supply chains of manufacturing companies, has raised a $3.1 million seed round. This is Fulcrum's first outside investment. It has 15 employees and hopes to use the new capital to hire 20 more in the next year, specifically in sales and marketing positions.  Fulcrum recently participated in this year’s Minnesota Cup. and was the runner-up in the high tech division ($5,000 cash prize)."/>
    <m/>
    <m/>
    <n v="20"/>
    <x v="0"/>
    <m/>
    <x v="25"/>
    <x v="9"/>
    <s v="https://www.bizjournals.com/twincities/news/2020/09/25/fulcrum-raises-seed-round-matchstick-bread-butter.html?ana=e_ae_prem&amp;j=90530094&amp;t=Afternoon&amp;mkt_tok=eyJpIjoiWmpOaU56Rm1aVFpsWXprMyIsInQiOiJHcmt6MllIVmlNU3pwNlVKUlRPY1E0ZlJ1WDZaNWtoUm0yUUhjMjBtMnd0eWRNaDQwWW9jVHFTSE43ckw3V3JnMHRaQ1NkVDB4bnRFSGJNOWZneThwYmJ5Y1hkM3hsM2RZbHl4eVJKUmZLQ1h0T2Y5S3VWZGZvaHFyNUNMMHJ3dCtYZ3I4dHVlQWJnVEM4OGRTXC9FVjBBPT0ifQ=="/>
    <s v="MSP Business Journal"/>
    <s v="730 2nd Ave S UNIT 840"/>
    <n v="55402"/>
    <n v="44.975231999999998"/>
    <n v="-93.270494999999997"/>
    <m/>
    <m/>
    <m/>
    <m/>
    <m/>
    <m/>
    <m/>
    <m/>
    <s v="Metro"/>
    <x v="2"/>
  </r>
  <r>
    <x v="10"/>
    <d v="2020-09-30T00:00:00"/>
    <x v="479"/>
    <s v="Lakeville"/>
    <s v="Dakota"/>
    <s v="MN"/>
    <s v="JD Woodcraft was issued a building permit in September 2020 for the construction of an 18,288-square-foot addition and parking lot. The existing facility is 30,000 square feet and is located at_x000a_21044 Heron Way."/>
    <s v="MF"/>
    <m/>
    <m/>
    <x v="0"/>
    <n v="18288"/>
    <x v="8"/>
    <x v="1"/>
    <s v="https://www.lakevillemn.gov/ArchiveCenter/ViewFile/Item/1015"/>
    <s v="Thrive! Lakeville Business Update 1/2021"/>
    <s v="21044 Heron Way"/>
    <n v="55044"/>
    <n v="44.644702000000002"/>
    <n v="-93.234274999999997"/>
    <m/>
    <m/>
    <m/>
    <m/>
    <m/>
    <m/>
    <m/>
    <m/>
    <s v="Metro"/>
    <x v="2"/>
  </r>
  <r>
    <x v="11"/>
    <d v="2020-10-01T00:00:00"/>
    <x v="480"/>
    <s v="Bloomington"/>
    <s v="Hennepin"/>
    <s v="MN"/>
    <s v="Interior tenant improvement on floors 1, 4 and 5. Siteimprove is a SaaS solution that helps organizations achieve their digital potential by empowering teams with actionable insights to deliver a superior website experience and drive growth. Siteimprove offers one suite for improving your website through SEO, Analytics, Accessibility, Data Privacy, and Content Quality. "/>
    <s v="OF"/>
    <n v="1000000"/>
    <m/>
    <x v="0"/>
    <m/>
    <x v="25"/>
    <x v="9"/>
    <s v="https://www.bloomingtonmn.gov/bldg/permit-status-inspection-results-monthly-building-reports"/>
    <s v="City of Bloomington"/>
    <s v="5600 W 83RD ST"/>
    <n v="55437"/>
    <n v="44.854467999999997"/>
    <n v="-93.354118"/>
    <m/>
    <m/>
    <m/>
    <m/>
    <m/>
    <m/>
    <m/>
    <m/>
    <s v="Metro"/>
    <x v="2"/>
  </r>
  <r>
    <x v="11"/>
    <d v="2020-10-07T00:00:00"/>
    <x v="481"/>
    <s v="Minneapolis"/>
    <s v="Hennepin"/>
    <s v="MN"/>
    <s v="Shipt, the same-day delivery service owned by Target Corp., plans to add another 100,000 workers to its network of freelance shoppers, in major cities nationwide, including Minneapolis-St. Paul. The Birmingham-based unit of Target (NYSE: TGT), announced its hiring plans early Wednesday, saying the move will bring its total shopper network to 300,000. "/>
    <m/>
    <m/>
    <m/>
    <x v="0"/>
    <m/>
    <x v="0"/>
    <x v="3"/>
    <s v="https://www.bizjournals.com/twincities/news/2020/10/07/shipt-100000-workers-holidays.html"/>
    <s v="MSP Business Journal"/>
    <m/>
    <n v="55402"/>
    <n v="44.975915000000001"/>
    <n v="-93.271825000000007"/>
    <m/>
    <m/>
    <m/>
    <m/>
    <s v="Target"/>
    <s v="Minneapolis"/>
    <s v="MN"/>
    <m/>
    <s v="Metro"/>
    <x v="2"/>
  </r>
  <r>
    <x v="11"/>
    <d v="2020-10-08T00:00:00"/>
    <x v="482"/>
    <s v="Eden Prairie"/>
    <s v="Hennepin"/>
    <s v="MN"/>
    <s v="Private jet company Jet Linx held a grand opening of its newest terminal at Flying Cloud Airport in Eden Prairie._x000a__x000a_It’s the 19th U.S. base for Omaha-based Jet Linx Aviation, LLC, which offers both private aircraft management and jet card memberships. The private terminal at Flying Cloud could eventually have as many as 45 to 50 employees. Jet Linx is currently managing three private aircraft in the Twin Cities but entered the market because it sees the opportunity to grow that number."/>
    <m/>
    <m/>
    <n v="50"/>
    <x v="0"/>
    <m/>
    <x v="0"/>
    <x v="3"/>
    <s v="https://www.bizjournals.com/twincities/news/2020/10/08/jet-linx-opens-terminal-at-flying-cloud-airport.html"/>
    <s v="MSP Business Journal"/>
    <s v="15221 Charlson Rd"/>
    <n v="55347"/>
    <n v="44.825082000000002"/>
    <n v="-93.465683999999996"/>
    <m/>
    <m/>
    <m/>
    <m/>
    <m/>
    <m/>
    <m/>
    <m/>
    <s v="Metro"/>
    <x v="2"/>
  </r>
  <r>
    <x v="11"/>
    <d v="2020-10-09T00:00:00"/>
    <x v="483"/>
    <s v="Bemidji"/>
    <s v="Beltrami"/>
    <s v="MN"/>
    <s v="AirCorps Aviation is working toward a $1.2 million expansion. Beltrami County is helpfing with funding provided as a loan. AirCorps Aviation's project will include purchasing a building along Adams Avenue in Bemidji Township, which will double the company's square footage. The business focuses on restoration and fabrication of vintage aircraft. The expansion will create 10 new jobs, paying at least $20 an hour. Renovations will be completed by Q1 and Q2 of 2021._x000a_DEED MIF Award $200K."/>
    <s v="WH"/>
    <n v="1200000"/>
    <n v="10"/>
    <x v="0"/>
    <m/>
    <x v="52"/>
    <x v="5"/>
    <s v="https://www.bemidjipioneer.com/business/6710287-AirCorps-Aviation-looking-to-expand-with-county-MNDEED-assistance"/>
    <s v="Bemidji Pioneer, DEED"/>
    <m/>
    <n v="56601"/>
    <n v="47.571964000000001"/>
    <n v="-94.801271999999997"/>
    <s v="Government"/>
    <s v="MIF "/>
    <n v="200000"/>
    <m/>
    <m/>
    <m/>
    <m/>
    <m/>
    <s v="North"/>
    <x v="2"/>
  </r>
  <r>
    <x v="11"/>
    <d v="2020-10-12T00:00:00"/>
    <x v="484"/>
    <s v="Eyota"/>
    <s v="Olmsted"/>
    <s v="MN"/>
    <s v="Eyota was awarded $434,727 to assist with constructing a street and extending utilities to a new industrial park that will include a new Menards nail plant. The project will retain 20 jobs. "/>
    <s v="MF"/>
    <m/>
    <m/>
    <x v="11"/>
    <m/>
    <x v="27"/>
    <x v="1"/>
    <s v="https://eyota.govoffice.com/vertical/sites/%7B6A40AD6F-800F-4E67-85FB-9F663D043B20%7D/uploads/agenda_8-27-2020_with_packet.pdf"/>
    <s v="City of Eyota"/>
    <m/>
    <n v="55934"/>
    <n v="44.009931999999999"/>
    <n v="-92.264837"/>
    <m/>
    <m/>
    <m/>
    <m/>
    <m/>
    <m/>
    <m/>
    <m/>
    <s v="South"/>
    <x v="2"/>
  </r>
  <r>
    <x v="11"/>
    <d v="2020-10-12T00:00:00"/>
    <x v="485"/>
    <s v="Waseca"/>
    <s v="Waseca"/>
    <s v="MN"/>
    <s v="Waseca was awarded $621,920 to assist with increasing the size of a watermain that allow the construction of a new Conagra food processing plant and for MJ Holdings to increase their manufacturing of hand sanitizer and extracting of CBD. The MJ Holdings project will retain 60 full-time jobs, create 190 new jobs. "/>
    <s v="MF"/>
    <m/>
    <n v="190"/>
    <x v="12"/>
    <m/>
    <x v="28"/>
    <x v="1"/>
    <m/>
    <s v="DEED"/>
    <m/>
    <n v="56093"/>
    <n v="44.065547000000002"/>
    <n v="-93.550494999999998"/>
    <m/>
    <m/>
    <m/>
    <m/>
    <m/>
    <m/>
    <m/>
    <m/>
    <s v="South"/>
    <x v="2"/>
  </r>
  <r>
    <x v="11"/>
    <d v="2020-10-13T00:00:00"/>
    <x v="486"/>
    <s v="Mankato"/>
    <s v="Blue Earth"/>
    <s v="MN"/>
    <s v="Rolls-Royce Power Systems (aka MTU Power Generation Systems) plans to add a new R&amp;D building and multi-phase expansion of its plant in Mankato._x000a__x000a_The $13.9 million investment will add 28,000-sq-ft to the facility, allowing for more assembly lines, enhanced product testing and 20 new manufacturing jobs._x000a_This will enable high-power MTU gas-generator units to be produced in the US for the first time. MTU generators are used for backup power."/>
    <s v="MFG, RD,OF"/>
    <n v="13900000"/>
    <n v="20"/>
    <x v="0"/>
    <n v="28000"/>
    <x v="4"/>
    <x v="1"/>
    <s v="https://www.bizjournals.com/twincities/news/2020/10/13/rolls-royce-expands-power-generation-facility.html"/>
    <s v="MSP Business Journal"/>
    <s v="100 Power Dr"/>
    <n v="56001"/>
    <n v="44.181032999999999"/>
    <n v="-93.939030000000002"/>
    <m/>
    <m/>
    <m/>
    <s v="x"/>
    <s v="Rolls-Royce"/>
    <s v="Friedrichshafen"/>
    <m/>
    <s v="Germany"/>
    <s v="South"/>
    <x v="2"/>
  </r>
  <r>
    <x v="11"/>
    <d v="2020-10-15T00:00:00"/>
    <x v="487"/>
    <s v="Cold Spring"/>
    <s v="Stearns"/>
    <s v="MN"/>
    <s v="Multinational food company Pilgrim’s Pride Corp. plans a $75 million expansion of a poultry plant in Cold Spring._x000a__x000a_The company, which has its U.S. headquarters in Greeley, Colo., plans to add 50,000 square feet to the facility and renovate parts of the existing facility.  the expansion could add 130 jobs, with work scheduled for completion in 2021. The plant currently employs nearly 1,200 workers."/>
    <s v="MFG"/>
    <n v="75000000"/>
    <n v="130"/>
    <x v="0"/>
    <n v="50000"/>
    <x v="1"/>
    <x v="1"/>
    <s v="https://www.bizjournals.com/twincities/news/2020/10/15/expansion-planned-for-cold-spring-poultry-plant.html"/>
    <s v="MSP Business Journal"/>
    <s v="851 Sauk River Rd"/>
    <n v="56320"/>
    <n v="45.460554999999999"/>
    <n v="-94.403684999999996"/>
    <s v="Government"/>
    <s v="TIF (with St. Cloud)"/>
    <m/>
    <s v="x"/>
    <s v="JBS"/>
    <m/>
    <m/>
    <s v="Brazil"/>
    <s v="Central"/>
    <x v="2"/>
  </r>
  <r>
    <x v="11"/>
    <d v="2020-10-16T00:00:00"/>
    <x v="358"/>
    <s v="Herman"/>
    <s v="Grant"/>
    <s v="MN"/>
    <s v="CHS has a new, state of the art elevator complex in Herman that began receiving grain October 13, 2020. The complex includes three 25,000 bushel/hour receiving pits. The previous elevator processed up to 15,000 bushels/hour. At 132 feet tall, 8 main silos and additional smaller bins offer 1.45 million bushels of upright storage space. A first-of-its-kind elevator is automated to receive grain around the clock and is expected to be available for use during 2021 harvest. "/>
    <s v="MF"/>
    <m/>
    <m/>
    <x v="0"/>
    <m/>
    <x v="1"/>
    <x v="1"/>
    <s v="https://www.chs-herman.com/about-us/news/herman-elevator-complete-and-receiving-grain/"/>
    <m/>
    <s v="406 Pacific Ave S"/>
    <n v="56248"/>
    <n v="45.806607"/>
    <n v="-96.143736000000004"/>
    <m/>
    <m/>
    <m/>
    <m/>
    <s v="CHS"/>
    <s v="Inver Grove Heights"/>
    <s v="MN"/>
    <m/>
    <s v="Central"/>
    <x v="2"/>
  </r>
  <r>
    <x v="11"/>
    <d v="2020-10-20T00:00:00"/>
    <x v="60"/>
    <s v="Lakeville"/>
    <s v="Dakota"/>
    <s v="MN"/>
    <s v="Amazon.com is planning to build a 750,000-square-foot fulfillment center in Lakeville. The facility will be on 72 acres at the Interstate South Logistics Park, at the southwest corner of Dodd Road and Country Road 70. The center will be known as an AMXL FC facility. _x000a_Those items would be shipped in a radius of 30 to 45 minutes. Wages start at $15 an hour. Number of workers is unknown but project calls for 300 surface parking stalls. Completion expected in August of 2021."/>
    <s v="WH"/>
    <m/>
    <n v="300"/>
    <x v="0"/>
    <n v="750000"/>
    <x v="0"/>
    <x v="8"/>
    <s v="https://www.bizjournals.com/twincities/news/2020/10/20/amazon-fulfillment-center-lakeville-large-items.html"/>
    <s v="MSP Business Journal"/>
    <m/>
    <n v="55024"/>
    <n v="44.640515000000001"/>
    <n v="-93.141959999999997"/>
    <m/>
    <m/>
    <m/>
    <m/>
    <s v="Amazon"/>
    <s v="Seattle"/>
    <s v="WA"/>
    <m/>
    <s v="Metro"/>
    <x v="2"/>
  </r>
  <r>
    <x v="11"/>
    <d v="2020-10-20T00:00:00"/>
    <x v="488"/>
    <s v="Oakdale"/>
    <s v="Washington"/>
    <s v="MN"/>
    <s v="Gov. Tim Walz toured a new laboratory in Oakdale Tuesday that will process 30,000 saliva tests a day. The Oakdale lab and 10 in-person testing sites, which are already open or planned around the state, was funded with $14 million of federal money for the coronavirus response. The lab will employ about 250 workers. The effort is a collaboration between Infinity Biologix, or IBX, which developed the saliva test, and Vault Health, which manages the logistics to collect and process samples. "/>
    <s v="Lab"/>
    <m/>
    <n v="250"/>
    <x v="0"/>
    <m/>
    <x v="40"/>
    <x v="0"/>
    <s v="https://www.twincities.com/2020/10/20/covid-19-saliva-test-lab-opens-in-oakdale-as-cases-continue-to-climb/"/>
    <s v="Pioneer Press"/>
    <s v="3510 Hopkins Place, Bldg 4"/>
    <n v="55128"/>
    <n v="45.000019999999999"/>
    <n v="-92.948884000000007"/>
    <s v="Government"/>
    <s v="Federal"/>
    <n v="14000000"/>
    <m/>
    <m/>
    <m/>
    <m/>
    <m/>
    <s v="Metro"/>
    <x v="2"/>
  </r>
  <r>
    <x v="11"/>
    <d v="2020-10-22T00:00:00"/>
    <x v="312"/>
    <s v="Eden Prairie"/>
    <s v="Hennepin"/>
    <s v="MN"/>
    <s v="Arctic Wolf, a Silicon Valley cybersecurity startup with a strong Eden Prarie presence, has relocated its corporate headquarters to Minnesota after raising $200 million in funding._x000a_Artic Wolf plans to create 150 new jobs by the end of 2021._x000a__x000a_Arctic Wolf’s Minnesota presence began four years ago with three employees working out of a local grocery. The Eden Prairie office has fueled the company’s growth, prompting company leaders to select Minnesota for its new headquarters."/>
    <s v="HQ, OF"/>
    <m/>
    <n v="150"/>
    <x v="0"/>
    <m/>
    <x v="3"/>
    <x v="4"/>
    <s v="https://www.twincities.com/2020/10/22/arctic-wolf-moves-headquarters-to-eden-prairie-after-a-200-million-boost-in-funding/"/>
    <s v="Pioneer Press"/>
    <s v="8939 Columbine Rd Suite 150"/>
    <n v="55347"/>
    <n v="44.841734000000002"/>
    <n v="-93.441980999999998"/>
    <m/>
    <m/>
    <m/>
    <m/>
    <m/>
    <m/>
    <m/>
    <m/>
    <s v="Metro"/>
    <x v="2"/>
  </r>
  <r>
    <x v="11"/>
    <d v="2020-10-22T00:00:00"/>
    <x v="489"/>
    <s v="Baudette"/>
    <s v="Lake of the Woods"/>
    <s v="MN"/>
    <s v="Lake of the Woods Distilling Company is a new planned manufacturing and tasting room business operated by an ownership group. The group purchased the Fischer’s True Value building on Main Avenue. The company expects to hire at least 9 employees with wages ranging from $13/hr to $33/hr. Manufacturing is the main part of the new business. They plan to distill a vodka, gin, rum, whiskey and tequila. The new distillery and tasting room should be operating by summer or fall 2021._x000a_November: MIF award $125K"/>
    <s v="MF"/>
    <n v="725000"/>
    <n v="9"/>
    <x v="0"/>
    <m/>
    <x v="39"/>
    <x v="1"/>
    <s v="https://www.page1publications.com/2020/10/22/baudette-distillery-project-moves-forward/"/>
    <s v="Page 1 Publications, DEED"/>
    <s v="106 N. Main Ave"/>
    <n v="56623"/>
    <n v="48.712865999999998"/>
    <n v="-94.599631000000002"/>
    <m/>
    <m/>
    <m/>
    <m/>
    <m/>
    <m/>
    <m/>
    <m/>
    <s v="North"/>
    <x v="2"/>
  </r>
  <r>
    <x v="11"/>
    <d v="2020-10-27T00:00:00"/>
    <x v="490"/>
    <s v="Bloomington"/>
    <s v="Hennepin"/>
    <s v="MN"/>
    <s v="USI Expansion(Floors 6 &amp;10) &amp; Remodel (Floors 4 &amp; 5). USI is a leader in insurance brokerage and consulting in P&amp;C, employee benefits, personal risk services, retirement, program and specialty solutions."/>
    <s v="OF"/>
    <n v="969777"/>
    <m/>
    <x v="0"/>
    <m/>
    <x v="36"/>
    <x v="6"/>
    <s v="https://www.bloomingtonmn.gov/bldg/permit-status-inspection-results-monthly-building-reports"/>
    <s v="City of Bloomington"/>
    <s v="8331 NORMAN CENTER DR"/>
    <n v="55437"/>
    <n v="44.852654000000001"/>
    <n v="-93.351347000000004"/>
    <m/>
    <m/>
    <m/>
    <m/>
    <m/>
    <m/>
    <m/>
    <m/>
    <s v="Metro"/>
    <x v="2"/>
  </r>
  <r>
    <x v="11"/>
    <d v="2020-10-31T00:00:00"/>
    <x v="491"/>
    <s v="Lakeville"/>
    <s v="Dakota"/>
    <s v="MN"/>
    <s v="Superior Decks &amp; Railings was issued a building permit in October for the construction of a 62,000-square-foot building to be located at 7776 Lakeville Boulevard. The business designs and manufactures aluminum decks, railings and fences."/>
    <s v="MF"/>
    <m/>
    <m/>
    <x v="0"/>
    <n v="62000"/>
    <x v="27"/>
    <x v="1"/>
    <s v="https://www.lakevillemn.gov/ArchiveCenter/ViewFile/Item/1015"/>
    <s v="Thrive! Lakeville Business Update 1/2021"/>
    <s v="7776 Lakeville Boulevard"/>
    <n v="55044"/>
    <n v="44.643447000000002"/>
    <n v="-93.223286999999999"/>
    <m/>
    <m/>
    <m/>
    <m/>
    <m/>
    <m/>
    <m/>
    <m/>
    <s v="Metro"/>
    <x v="2"/>
  </r>
  <r>
    <x v="11"/>
    <d v="2020-11-05T00:00:00"/>
    <x v="24"/>
    <s v="Minneapolis"/>
    <s v="Hennepin"/>
    <s v="MN"/>
    <s v="Minneapolis-based payment platform Sezzle Inc. says it has doubled its employee headcount to more than 200 in 2020._x000a_In a news release last week, the financial tech company said its headcount grew by 20 percent in the fourth quarter alone. The new hires extended across the organization, including everything from sales to software development._x000a__x000a_The hiring frenzy was driven, in part, by a roughly $60 million investment the company secured over the summer,"/>
    <m/>
    <m/>
    <n v="100"/>
    <x v="0"/>
    <m/>
    <x v="3"/>
    <x v="4"/>
    <s v="https://tcbmag.com/sezzle-has-doubled-headcount-in-2020/"/>
    <s v="Twin Cities Business"/>
    <s v="251 N 1st Ave"/>
    <n v="55401"/>
    <n v="44.985892999999997"/>
    <n v="-93.269371000000007"/>
    <m/>
    <m/>
    <m/>
    <m/>
    <m/>
    <m/>
    <m/>
    <m/>
    <s v="Metro"/>
    <x v="2"/>
  </r>
  <r>
    <x v="11"/>
    <d v="2020-11-09T00:00:00"/>
    <x v="458"/>
    <s v="Bloomington"/>
    <s v="Hennepin"/>
    <s v="MN"/>
    <s v="George Demou, president and chief executive of Avtex, a customer experience consulting and technology company, says offering free software and services to help clients get employees working remotely amid the pandemic ultimately has boosted the company’s fortunes. Close to 1,000 clients took advantage of the offer in April._x000a_The company — with most of its more than 430 employees also working remotely — is hiring and expects to have 500 employees by year’s end."/>
    <m/>
    <m/>
    <n v="70"/>
    <x v="0"/>
    <m/>
    <x v="25"/>
    <x v="9"/>
    <s v="https://www.startribune.com/bloomington-firm-gave-away-its-product-early-in-pandemic-the-risky-move-paid-off/572996032/"/>
    <s v="Star Tribune"/>
    <s v="3500 American Blvd W #300"/>
    <n v="55431"/>
    <n v="44.858280000000001"/>
    <n v="-93.325306999999995"/>
    <m/>
    <m/>
    <m/>
    <m/>
    <m/>
    <m/>
    <m/>
    <m/>
    <s v="Metro"/>
    <x v="2"/>
  </r>
  <r>
    <x v="11"/>
    <d v="2020-11-09T00:00:00"/>
    <x v="492"/>
    <s v="Minneapolis"/>
    <s v="Hennepin"/>
    <s v="MN"/>
    <s v="Erik’s Bike Shop Inc. is relocating its corporate headquarters, warehouse and distribution center to Minneapolis from Bloomington this month._x000a__x000a_Erik Saltvold, founder and CEO of the 31-store retail chain, said the new location (at an existing structure) at 550 Kasota Ave. SE. in Minneapolis’ Como neighborhood made sense for both the business and its employees. At 100,000 square feet, the new warehouse gives Erik’s more than twice the space it had in Bloomington._x000a_Update July 2021: new facility opened."/>
    <s v="HQ, WH, RET"/>
    <m/>
    <m/>
    <x v="0"/>
    <n v="50000"/>
    <x v="0"/>
    <x v="8"/>
    <s v="https://www.bizjournals.com/twincities/news/2020/11/09/eriks-bike-shop-moves-headquarters-to-minneapolis.html"/>
    <s v="MSP Business Journal"/>
    <s v="550 Kasota Ave SE"/>
    <n v="55414"/>
    <n v="44.981496999999997"/>
    <n v="-93.214343999999997"/>
    <s v="Government (Opportunity Zones, MN-OZA)"/>
    <m/>
    <m/>
    <m/>
    <m/>
    <m/>
    <m/>
    <m/>
    <s v="Metro"/>
    <x v="2"/>
  </r>
  <r>
    <x v="11"/>
    <d v="2020-11-11T00:00:00"/>
    <x v="493"/>
    <s v="Alexandria"/>
    <s v="Douglas"/>
    <s v="MN"/>
    <s v="SunOpta reveals $26 million expansion in Alexandria.  As one of the largest facilities of its kind in the United States, the plant will use proprietary enzymatic processes to break down whole oats into a liquid oat base that will then be used to make oat milk and other products._x000a__x000a_This new addition will create more than 20 new jobs and will quadruple oat base production. SunOpta currently employs 66 people.  "/>
    <s v="MFG"/>
    <n v="26000000"/>
    <n v="20"/>
    <x v="0"/>
    <m/>
    <x v="1"/>
    <x v="1"/>
    <s v="https://www.echopress.com/business/manufacturing/6757659-SunOpta-reveals-26-million-expansion-in-Alexandria"/>
    <s v="Echo Press"/>
    <s v="601 Third Ave. W"/>
    <n v="56308"/>
    <n v="45.892988000000003"/>
    <n v="-95.385679999999994"/>
    <m/>
    <m/>
    <m/>
    <s v="x"/>
    <s v="SunOpta"/>
    <s v="Brampton"/>
    <s v="ON"/>
    <s v="CANADA"/>
    <s v="Central"/>
    <x v="2"/>
  </r>
  <r>
    <x v="11"/>
    <d v="2020-11-12T00:00:00"/>
    <x v="494"/>
    <s v="Winona"/>
    <s v="Winona"/>
    <s v="MN"/>
    <s v="Midwest Co-pack (MWCP) is purchasing the former Ferrara Canada company building at 1000 W 5th Str.  Expansion plans depend upon financing with Port Authority ($75K loan), MIF and JCF appliactions. MWCP has acquired 7 new customers in past 3 years and a large contract for several years to manufacture healthier grade products. The expansion would require building rehabilitation and facility/equipment upgrades. MWCP has already hired 14 new employees and needs to hire another 50. Awards: MIF $150,000. JCF $175,000."/>
    <s v="MFG"/>
    <n v="645697"/>
    <n v="64"/>
    <x v="0"/>
    <m/>
    <x v="1"/>
    <x v="1"/>
    <s v="https://www.cityofwinona.com/AgendaCenter/ViewFile/ArchivedAgenda/_12102020-135"/>
    <s v="City of Winona"/>
    <s v="1000 West Fifth Street"/>
    <n v="55987"/>
    <n v="44.054048999999999"/>
    <n v="-91.664188999999993"/>
    <s v="Government"/>
    <s v="MIF $150K, JCF $175K. Port Auth. $75K"/>
    <n v="400000"/>
    <m/>
    <m/>
    <m/>
    <m/>
    <m/>
    <s v="South"/>
    <x v="2"/>
  </r>
  <r>
    <x v="11"/>
    <d v="2020-11-18T00:00:00"/>
    <x v="495"/>
    <s v="Minneapolis"/>
    <s v="Hennepin"/>
    <s v="MN"/>
    <s v="GBBN, one of the largest architectural firms in Greater Cincinnati, has expanded to Minneapolis.  Minneapolis marks the first new office for the Cincinnati firm since it opened an office in Pittsburgh in 2013. GBBN now has five full-time employees in Minneapolis, with plans to add two more within the month. The office will be located in the Grain Exchange Building at 400 S. Fourth St. in downtown Minneapolis."/>
    <s v="OF"/>
    <m/>
    <n v="7"/>
    <x v="0"/>
    <m/>
    <x v="15"/>
    <x v="4"/>
    <s v="https://www.bizjournals.com/twincities/news/2020/11/18/one-of-cincinnatis-largest-architecture-firms.html"/>
    <s v="MSP Business Journal"/>
    <s v="400 S. Fourth St"/>
    <n v="55415"/>
    <n v="44.977536999999998"/>
    <n v="-93.263637000000003"/>
    <m/>
    <m/>
    <m/>
    <m/>
    <m/>
    <m/>
    <m/>
    <m/>
    <s v="Metro"/>
    <x v="2"/>
  </r>
  <r>
    <x v="11"/>
    <d v="2020-11-20T00:00:00"/>
    <x v="496"/>
    <s v="Brooklyn Park"/>
    <s v="Hennepin"/>
    <s v="MN"/>
    <s v="DataBank Holdings, a Dallas-based firm that runs data centers, has broken ground on an 86,000-square-foot data center in Brooklyn Park, its third such center in Minnesota._x000a__x000a_The center, known as MSP3, is being built at 8111 Oxbow Creek N. and is expected to be operational by September. An additional 170,000-square-feet of data center space is planned for later. The $15.3 million expansion will create 20 to 25 permanent jobs._x000a__x000a_DataBank's two existing Minnesota data centers are in Edina and Eagan. "/>
    <s v="DC"/>
    <n v="15300000"/>
    <n v="25"/>
    <x v="0"/>
    <n v="86000"/>
    <x v="29"/>
    <x v="9"/>
    <s v="https://www.bizjournals.com/twincities/news/2020/11/20/databank-plans-third.html"/>
    <s v="MSP Business Journal"/>
    <s v="8111 Oxbow Creek N."/>
    <n v="55443"/>
    <n v="45.143622000000001"/>
    <n v="-93.385800000000003"/>
    <m/>
    <m/>
    <m/>
    <m/>
    <m/>
    <m/>
    <m/>
    <m/>
    <s v="Metro"/>
    <x v="2"/>
  </r>
  <r>
    <x v="11"/>
    <d v="2020-11-20T00:00:00"/>
    <x v="497"/>
    <s v="Edina"/>
    <s v="Hennepin"/>
    <s v="MN"/>
    <s v="Regenhu (Switzerland) is investing in United States in the Biotechnology sector in a Sales, Marketing &amp; Support project. _x000a_Switzerland-based Regenhu, which specialises in med tech 3D bioprinting, has opened an office in Edina, Minnesota, US. It will serve the US market and Canada. The company’s first office in the U.S. officially opened last Monday. It will serve as the central hub for delivering their bioprinting service while also supporting partners and clients across North America. "/>
    <s v="OF"/>
    <m/>
    <m/>
    <x v="0"/>
    <m/>
    <x v="11"/>
    <x v="1"/>
    <s v="https://bit.ly/33wTacP"/>
    <s v="Sun Current, Hometown Source"/>
    <s v="5256 W 74th St"/>
    <n v="55439"/>
    <n v="44.868713999999997"/>
    <n v="-93.357615999999993"/>
    <m/>
    <m/>
    <m/>
    <s v="x"/>
    <m/>
    <m/>
    <m/>
    <s v="Switzerland"/>
    <s v="Metro"/>
    <x v="2"/>
  </r>
  <r>
    <x v="11"/>
    <d v="2020-11-23T00:00:00"/>
    <x v="498"/>
    <s v="Albert Lea"/>
    <s v="Olmsted"/>
    <s v="MN"/>
    <s v="Vortex Cold Storage plans to build a 170,000 sq. ft. cold storage facility requiring a $31 million investment in Albert Lea. Broke ground January 2021._x000a_The Albert Lea City Council is supporting the project with an incentive package that includes nine years of Tax Increment Financing estimated at $1,295,028 and six years of Tax Abatement totaling an additional $350,000. DEED JCF Award $176,000. 26 new jobs paying average wages of $28.02/hr. "/>
    <s v="WH"/>
    <n v="31000000"/>
    <n v="26"/>
    <x v="0"/>
    <n v="170000"/>
    <x v="0"/>
    <x v="16"/>
    <s v="https://www.cityofalbertlea.org/november-23-2020/"/>
    <s v="City of Albert Lea"/>
    <s v="7447 Dresser Dr NE"/>
    <n v="55906"/>
    <n v="44.104509"/>
    <n v="-92.429329999999993"/>
    <s v="Government"/>
    <s v="JCF ($176K), TIF (1,295,000), Tax Abate ($350K)"/>
    <n v="1821000"/>
    <m/>
    <m/>
    <m/>
    <m/>
    <m/>
    <s v="South"/>
    <x v="2"/>
  </r>
  <r>
    <x v="11"/>
    <d v="2020-11-25T00:00:00"/>
    <x v="499"/>
    <s v="St Augusta"/>
    <s v="Nicollet"/>
    <s v="MN"/>
    <s v="A semi trailer dealership is building a new facility in St. Augusta and will add about a dozen new jobs to the area. Will open in late spring 2021. North Central Utility has locations throughout ND, WI and MN, including in North Mankato and Rogers. The new facility will be more than 25,000 square feet and would bring 10 to 15 new jobs to the area. The expected project cost is around $3.5 million._x000a_The dealership will be full-service, including sales, parts and seven bays for service work/"/>
    <s v="RT, Other"/>
    <n v="3500000"/>
    <n v="15"/>
    <x v="0"/>
    <n v="25000"/>
    <x v="0"/>
    <x v="8"/>
    <s v="https://bit.ly/3fQBPAy "/>
    <s v="St. Cloud Times"/>
    <s v="2150 Carlson Dr"/>
    <n v="56003"/>
    <n v="44.191448999999999"/>
    <n v="-94.050968999999995"/>
    <m/>
    <m/>
    <m/>
    <m/>
    <m/>
    <m/>
    <m/>
    <m/>
    <s v="South"/>
    <x v="2"/>
  </r>
  <r>
    <x v="11"/>
    <d v="2020-12-04T00:00:00"/>
    <x v="444"/>
    <s v="Minneapolis"/>
    <s v="Hennepin"/>
    <s v="MN"/>
    <s v="Xcel Energy Inc. is planning to build a three-level, 85,000-square-foot operations center and office building along the Northeast Minneapolis riverfront. The Marshall Operations Center building will accommodate the functions performed at Xcel’s Chestnut Service Center in Minneapolis. That service center will be redeveloped, but Xcel didn’t provide further details.  Xcel's electrical-distribution control center will also be relocated to the Marshall Street building."/>
    <s v="OF"/>
    <m/>
    <m/>
    <x v="0"/>
    <n v="85000"/>
    <x v="0"/>
    <x v="17"/>
    <s v="https://www.bizjournals.com/twincities/news/2020/12/04/xcel-northeast-minneapolis-operations-building.html"/>
    <s v="MSP Business Journal"/>
    <s v="3356 Marshall St N"/>
    <n v="55418"/>
    <n v="45.028784999999999"/>
    <n v="-93.276927999999998"/>
    <m/>
    <m/>
    <m/>
    <m/>
    <m/>
    <m/>
    <m/>
    <m/>
    <s v="Metro"/>
    <x v="2"/>
  </r>
  <r>
    <x v="11"/>
    <d v="2020-12-05T00:00:00"/>
    <x v="500"/>
    <s v="Northfield"/>
    <s v="Rice"/>
    <s v="MN"/>
    <s v="Aurora Pharmaceutical begins expansion, expects job growth.  Aurora Pharmaceutical is embarking on a 4,000-square-foot expansion this week, a project expected to enable future job growth. Aurora CEO and Founder Michael Strobel said the expansion, in front of the former Cannon Valley Printing facility on Hwy. 3, will add production space for animal pharmaceutical manufacturing projects. He expects the project to take three to four months."/>
    <s v="MF"/>
    <m/>
    <m/>
    <x v="0"/>
    <n v="4000"/>
    <x v="53"/>
    <x v="1"/>
    <s v="https://www.southernminn.com/northfield_news/business/article_b440079d-6316-5eae-8404-afdb4357d21a.html"/>
    <s v="Southern MN"/>
    <s v="1196 MN-3"/>
    <n v="55057"/>
    <n v="44.447538999999999"/>
    <n v="-93.174437999999995"/>
    <m/>
    <m/>
    <m/>
    <m/>
    <m/>
    <m/>
    <m/>
    <m/>
    <s v="South"/>
    <x v="2"/>
  </r>
  <r>
    <x v="11"/>
    <d v="2020-12-10T00:00:00"/>
    <x v="501"/>
    <s v="Lake Crystal"/>
    <s v="Blue Earth"/>
    <s v="MN"/>
    <s v="TBEI begins expansion project that will add 55,000 square feet to its Lake Crystal plant where Crysteel and J-Craft dump bodies are manufactured. Truck Bodies and Equipment International Inc. has begun a multi-million-dollar expansion and continuous improvement project._x000a__x000a_In September 2020, TBEI completed the acquisition of the current production facility  along with an adjacent facility. The expansion project is currently underway and is targeted to be completed by mid-2021.. "/>
    <s v="MF"/>
    <m/>
    <m/>
    <x v="0"/>
    <n v="55000"/>
    <x v="54"/>
    <x v="1"/>
    <s v="https://www.trailer-bodybuilders.com/truck-bodies/article/21149997/tbei-begins-expansion-project-at-minnesota-facility#:~:text=Truck%20Bodies%20and%20Equipment%20International,feet%20to%20the%20manufacturing%20footprint"/>
    <s v="Company website"/>
    <s v="52182 Ember Rd"/>
    <n v="56055"/>
    <n v="44.147700999999998"/>
    <n v="-94.212574000000004"/>
    <m/>
    <m/>
    <m/>
    <m/>
    <m/>
    <m/>
    <m/>
    <m/>
    <s v="South"/>
    <x v="2"/>
  </r>
  <r>
    <x v="11"/>
    <d v="2020-12-22T00:00:00"/>
    <x v="502"/>
    <s v="Burnsville"/>
    <s v="Dakota"/>
    <s v="MN"/>
    <s v="Ōmcare, a MN health startup, has received a $2.5 million investment from Connect the Grey Investment Management to bring its Home Health Hub, an in-home device that dispenses and allows monitoring of a user’s medicine intake, to market. The hub is manufactured in Minnesota. The coronavirus pandemic has cemented the need for telehealth services and product. Latvin is now focused on Ōmcare’s 14-person staff, which Lavin plans to significantly grow next year. "/>
    <m/>
    <m/>
    <m/>
    <x v="0"/>
    <m/>
    <x v="11"/>
    <x v="1"/>
    <s v="https://finance-commerce.com/2020/12/startup-omcare-lands-2-5m-medical-investment/"/>
    <s v="Finance &amp; Commerce"/>
    <s v="2970 Judicial Rd Suite 210"/>
    <n v="55337"/>
    <n v="44.749493000000001"/>
    <n v="-93.317509999999999"/>
    <m/>
    <m/>
    <m/>
    <m/>
    <m/>
    <m/>
    <m/>
    <m/>
    <s v="Metro"/>
    <x v="2"/>
  </r>
  <r>
    <x v="11"/>
    <d v="2020-12-31T00:00:00"/>
    <x v="503"/>
    <s v="Lakeville"/>
    <s v="Dakota"/>
    <s v="MN"/>
    <s v="Polytek Surface Coatings has completed construction on its new two-story, 17,218-square-foot office and warehouse building at 7850 Lakeville Boulevard. This business was previously located in a smaller leased space in the Hebert Building III on Heron Way"/>
    <s v="OF, WH"/>
    <m/>
    <m/>
    <x v="0"/>
    <n v="17218"/>
    <x v="28"/>
    <x v="1"/>
    <s v="https://www.lakevillemn.gov/ArchiveCenter/ViewFile/Item/1015"/>
    <s v="Thrive! Lakeville Business Update 1/2021"/>
    <s v="7850 Lakeville Boulevard"/>
    <n v="55044"/>
    <n v="44.643554000000002"/>
    <n v="-93.224467000000004"/>
    <m/>
    <m/>
    <m/>
    <m/>
    <m/>
    <m/>
    <m/>
    <m/>
    <s v="Metro"/>
    <x v="2"/>
  </r>
  <r>
    <x v="11"/>
    <d v="2020-12-31T00:00:00"/>
    <x v="504"/>
    <s v="Lakeville"/>
    <s v="Dakota"/>
    <s v="MN"/>
    <s v="Recycle Minnesota has completed construction of the 21,240-square-foot building addition to its existing 41,834-square-foot recycling facility located at 8812 215th Street. The business also_x000a_added a 69-foot tall storage silo on the property which will store recycled glass, such as beverage bottles and food jars, that is then periodically loaded into a semi-trailer for over-the-road transport."/>
    <s v="WH"/>
    <m/>
    <m/>
    <x v="0"/>
    <n v="21240"/>
    <x v="55"/>
    <x v="5"/>
    <s v="https://www.lakevillemn.gov/ArchiveCenter/ViewFile/Item/1015"/>
    <s v="Thrive! Lakeville Business Update 1/2021"/>
    <s v="8812 215th Street"/>
    <n v="55044"/>
    <n v="44.636975999999997"/>
    <n v="-93.244198999999995"/>
    <m/>
    <m/>
    <m/>
    <m/>
    <m/>
    <m/>
    <m/>
    <m/>
    <s v="Metro"/>
    <x v="2"/>
  </r>
  <r>
    <x v="12"/>
    <d v="2020-12-31T00:00:00"/>
    <x v="505"/>
    <s v="Minneapolis"/>
    <s v="Hennepin"/>
    <s v="MN"/>
    <s v="Although Peace Coffee shuttered its three downtown coffee shops in March, cutting 26 retail employees, its larger wholesale and e-commerce businesses, which constituted about 85% of revenue, grew by double digits. They should again in 2021._x000a__x000a_&quot;Peace Coffee tripled capacity to produce roasted coffee with a new Diedrich roaster we acquired in February for about $120,000,&quot; Wallace added. &quot;And [we] added 14,000 square feet to space at the Southside Greenway Building, to 22,000 square feet.&quot;"/>
    <s v="MF"/>
    <m/>
    <m/>
    <x v="0"/>
    <n v="14000"/>
    <x v="56"/>
    <x v="10"/>
    <s v="https://www.startribune.com/peace-coffee-g-b-environmental-pruned-then-grew-to-survive-through-pandemic/600016569/"/>
    <s v="Star Tribune"/>
    <s v=" 2801 21st Ave S #130,"/>
    <n v="55407"/>
    <n v="44.950746000000002"/>
    <n v="-93.241529999999997"/>
    <m/>
    <m/>
    <m/>
    <m/>
    <m/>
    <m/>
    <m/>
    <m/>
    <s v="Metro"/>
    <x v="2"/>
  </r>
  <r>
    <x v="12"/>
    <d v="2021-01-19T00:00:00"/>
    <x v="506"/>
    <s v="St. Louis Park"/>
    <s v="Hennepin"/>
    <s v="MN"/>
    <s v="St. Louis Park-based software consultancy Magenic Technologies Inc. has agreed to be acquired by Cognizant Technology Solutions Corp._x000a__x000a_The deal is expected to close sometime in the first quarter. It's not yet clear whether the Magenic brand will survive the merger.  Both companies don't expect layoffs and hope to actually continue to hire, including in the Twin Cities, where Magenic has about 250 employees."/>
    <m/>
    <m/>
    <m/>
    <x v="0"/>
    <m/>
    <x v="10"/>
    <x v="4"/>
    <s v="https://www.bizjournals.com/twincities/inno/stories/news/2021/01/19/magenic-agrees-acquired-cognizant.html"/>
    <s v="MSP Business Journal"/>
    <s v="1600 Utica Ave S #200"/>
    <n v="55416"/>
    <n v="44.966161999999997"/>
    <n v="-93.345726999999997"/>
    <m/>
    <m/>
    <m/>
    <m/>
    <m/>
    <m/>
    <m/>
    <m/>
    <s v="Metro"/>
    <x v="3"/>
  </r>
  <r>
    <x v="12"/>
    <d v="2021-01-22T00:00:00"/>
    <x v="507"/>
    <s v="Rockwood Township"/>
    <s v="Beltrami"/>
    <s v="MN"/>
    <s v="Bemidji Steel is moving to Hubbard County. The manufacturer will construct a new, nearly $3-million headquarters office. Greater Bemidji Inc.,an ED organization for Beltrami County area, is assisting in the expansion._x000a__x000a_Bemidji Steel Company plans to relocate to just south of Bemidji, at the corner of U.S. Hwy. 71 and County Road 9.  The project will be a state-of-the-art, value-added production facility for metal, includes relocateing commercial steel sales division. Creates 6 manuf. jobs."/>
    <s v="HQ, MF"/>
    <n v="3250000"/>
    <n v="6"/>
    <x v="0"/>
    <m/>
    <x v="44"/>
    <x v="1"/>
    <s v="https://www.parkrapidsenterprise.com/news/6852764-Bemidji-Steel-moving-its-headquarters-to-Hubbard-County"/>
    <m/>
    <s v="540 Mahnomen Dr SE"/>
    <n v="56601"/>
    <n v="47.446337"/>
    <n v="-94.861463999999998"/>
    <s v="Government"/>
    <s v="JCF"/>
    <n v="100000"/>
    <m/>
    <m/>
    <m/>
    <m/>
    <m/>
    <s v="North"/>
    <x v="3"/>
  </r>
  <r>
    <x v="12"/>
    <d v="2021-01-25T00:00:00"/>
    <x v="508"/>
    <s v="Minneapolis"/>
    <s v="Hennepin"/>
    <s v="MN"/>
    <s v="Software-security firm Code42, which shrank from 600 to 500 people over the past two years due to business realignment and economic downturn, is back on a growth track._x000a__x000a_Code42 laid off or furloughed about 50 people last spring in anticipation of the worst from the downturn that happened after the coronavirus swept the globe. The company expects to return to 550 workers within months."/>
    <m/>
    <m/>
    <n v="50"/>
    <x v="0"/>
    <m/>
    <x v="25"/>
    <x v="9"/>
    <s v="https://www.startribune.com/minneapolis-based-code42-adding-employees-again-eyes-stock-offering-within-two-years/600014862/"/>
    <s v="Star Tribune"/>
    <s v="100 S Washington Ave,"/>
    <n v="55401"/>
    <n v="44.981085"/>
    <n v="-93.265673000000007"/>
    <m/>
    <m/>
    <m/>
    <m/>
    <m/>
    <m/>
    <m/>
    <m/>
    <s v="Metro"/>
    <x v="3"/>
  </r>
  <r>
    <x v="12"/>
    <d v="2021-01-26T00:00:00"/>
    <x v="509"/>
    <s v="New Brighton"/>
    <s v="Ramsey"/>
    <s v="MN"/>
    <s v="TÜV SÜD’s New Brighton Testing Laboratory tests and certifies a variety of product safety certification standards. Competition with sites in Atlanta, Boston and Tampa. Worked with Ryan Cos, Greater MSP and City of New Brighton. New Brighton was selected for Multi-million dollar expansion. Will create 19 new high-paying jobs.  Construction will start in April 2021. Expansion will further solidify the area as a preeminent location for global headquarters and the anchor location in North America. "/>
    <s v="HQ, OF, RD"/>
    <n v="11500000"/>
    <n v="19"/>
    <x v="0"/>
    <m/>
    <x v="9"/>
    <x v="4"/>
    <s v="https://webstreaming.ctv15.org/viewer.php?streamid=4611&amp;jwsource=cl"/>
    <m/>
    <s v=" 141 14th St NW"/>
    <n v="55112"/>
    <n v="45.071154999999997"/>
    <n v="-93.189251999999996"/>
    <s v="Government"/>
    <s v="JCF"/>
    <n v="190000"/>
    <m/>
    <s v="TÜV SÜD"/>
    <s v="Munich"/>
    <m/>
    <s v="Germany"/>
    <s v="Metro"/>
    <x v="3"/>
  </r>
  <r>
    <x v="12"/>
    <d v="2021-01-29T00:00:00"/>
    <x v="510"/>
    <s v="Paynesville"/>
    <s v="Stearns"/>
    <s v="MN"/>
    <s v="Louis Industries is one of the most modern steel processing facilities in the Upper Midwest, using state of the art lasers, turrets, welding, inspection and metal forming equipment. _x000a_DEED: $3.2 million investment. 10 new jobs with an average wage of $21.40/hr. JCF $150K. No further information available."/>
    <s v="MF"/>
    <n v="3200000"/>
    <n v="10"/>
    <x v="0"/>
    <m/>
    <x v="44"/>
    <x v="1"/>
    <m/>
    <s v="DEED"/>
    <s v="222 Industrial Loop St W"/>
    <n v="56362"/>
    <n v="45.385817000000003"/>
    <n v="-94.705899000000002"/>
    <s v="Government"/>
    <s v="JCF"/>
    <n v="150000"/>
    <m/>
    <m/>
    <m/>
    <m/>
    <m/>
    <s v="Central"/>
    <x v="3"/>
  </r>
  <r>
    <x v="12"/>
    <d v="2021-02-02T00:00:00"/>
    <x v="73"/>
    <s v="Duluth"/>
    <s v="St Louis"/>
    <s v="MN"/>
    <s v="Essentia Health is planning an outpatient surgery center inside the former Sears store at Duluth's Miller Hill Mall. The new facility reflects the growing number of surgeries and other procedures that can be done safely without hospitalization._x000a__x000a_Construction is expected to start this spring, and the 32,000-square-foot center could open by spring 2022. A laboratory and pharmacy are part of the plans. In 2019, Essentia purchased and moved into the former Younkers store at Miller Hill Mall. "/>
    <s v="HC"/>
    <m/>
    <m/>
    <x v="0"/>
    <n v="32000"/>
    <x v="40"/>
    <x v="0"/>
    <s v="https://www.startribune.com/essentia-health-bringing-surgery-center-to-former-sears-at-duluth-mall/600018135/"/>
    <s v="Star Tribune"/>
    <s v="400 E 3rd St"/>
    <n v="55805"/>
    <n v="46.792817999999997"/>
    <n v="-92.095934"/>
    <m/>
    <m/>
    <m/>
    <m/>
    <m/>
    <m/>
    <m/>
    <m/>
    <s v="North"/>
    <x v="3"/>
  </r>
  <r>
    <x v="12"/>
    <d v="2021-02-02T00:00:00"/>
    <x v="511"/>
    <s v="Edina"/>
    <s v="Hennepin"/>
    <s v="MN"/>
    <s v="Smart catheter company UroDev Medical has relocated from San Clemente, California, to Edina as it prepares to launch its first product into the market. UroDev currently only has 3 full-time employees; they're going to be hiring for roles in finance, customer service and sales._x000a_UroDev will submit for FDA 510(k) clearance around mid-year and expects to receive approval by the end 2021. A Series B round of fundraising between $10 million and $15 million is planned in the third quarter."/>
    <s v="OF, MF"/>
    <m/>
    <m/>
    <x v="0"/>
    <m/>
    <x v="11"/>
    <x v="1"/>
    <s v="https://www.bizjournals.com/twincities/news/2021/02/02/veteran-founded-catheter-firm-moves.html"/>
    <s v="MSP Business Journal"/>
    <m/>
    <n v="55439"/>
    <n v="44.874414000000002"/>
    <n v="-93.375276999999997"/>
    <m/>
    <m/>
    <m/>
    <m/>
    <m/>
    <m/>
    <m/>
    <m/>
    <s v="Metro"/>
    <x v="3"/>
  </r>
  <r>
    <x v="12"/>
    <d v="2021-02-04T00:00:00"/>
    <x v="512"/>
    <s v="Plymouth"/>
    <s v="Hennepin"/>
    <s v="MN"/>
    <s v="Plymouth-based IndusTrack won $100,000 atf MEDA's third Million Dollar Challenge, and was the only winner from Minnesota this year._x000a__x000a_IndusTrack makes management software for contractors in fields like HVAC, construction and plumbing. Its software has GPS tracking for employees and handles features like invoicing. The firm has 20 employees and plans to hire more, including 4 salespeople. The goal is to be a $10 million company by 2025.  About 85% of the winnings is going to marketing."/>
    <m/>
    <m/>
    <n v="4"/>
    <x v="0"/>
    <m/>
    <x v="25"/>
    <x v="9"/>
    <s v="https://www.bizjournals.com/twincities/news/2021/02/04/raz-bajwa-industrack-meda-million-dollar-challenge.html"/>
    <s v="MSP Business Journal"/>
    <s v="10700 Hwy 55"/>
    <n v="55441"/>
    <n v="44.987428999999999"/>
    <n v="-93.416357000000005"/>
    <m/>
    <m/>
    <m/>
    <m/>
    <m/>
    <m/>
    <m/>
    <m/>
    <s v="Metro"/>
    <x v="3"/>
  </r>
  <r>
    <x v="12"/>
    <d v="2021-02-05T00:00:00"/>
    <x v="110"/>
    <s v="Dayton"/>
    <s v="Hennepin"/>
    <s v="MN"/>
    <s v="Graco Inc. has purchased 100 acres of undeveloped land in Dayton, Minn., and plans to build a 500,000-square-foot industrial facility there._x000a__x000a_Minneapolis-based Graco (NYSE: GGG), a manufacturer of fluid handling equipment, plans to relocate 225 employees in two of its three divisions currently based in Minneapolis. The first phase of completion is scheduled for 2022._x000a_Update 9/28/22: Grand opening of $95 million manufacturing building"/>
    <s v="MF"/>
    <n v="95000000"/>
    <m/>
    <x v="0"/>
    <n v="500000"/>
    <x v="4"/>
    <x v="1"/>
    <s v="https://www.bizjournals.com/twincities/news/2021/02/05/graco-dayton-land-acquisition.html"/>
    <s v="MSP Business Journal"/>
    <m/>
    <n v="55311"/>
    <n v="45.124262999999999"/>
    <n v="-93.499583000000001"/>
    <m/>
    <m/>
    <m/>
    <m/>
    <m/>
    <m/>
    <m/>
    <m/>
    <s v="Metro"/>
    <x v="3"/>
  </r>
  <r>
    <x v="12"/>
    <d v="2021-02-08T00:00:00"/>
    <x v="513"/>
    <s v="Saint Paul"/>
    <s v="Ramsey"/>
    <s v="MN"/>
    <s v="Medica brings 50 jobs to new office in St. Paul, and is prioritizing jobs to workers who live in the five ZIP codes surrounding the office._x000a_Female- and minority-owned building contractors worked on the new 7,000 square foot office in St. Paul, in the Wilder Foundation building._x000a_Medica's employees are working remotely for now. Hiring for the claims processors and call-center workers has begun; all jobs should be filled by mid-March. Wages are $55,000 to $70,000 a year including pay and benefits."/>
    <s v="OF"/>
    <m/>
    <n v="50"/>
    <x v="0"/>
    <n v="7000"/>
    <x v="36"/>
    <x v="6"/>
    <s v="https://www.startribune.com/out-of-the-riots-and-rubble-medica-brings-50-jobs-to-new-office-in-st-paul/600020252/"/>
    <s v="Star Tribune"/>
    <s v="451 Lexington Parkway N"/>
    <n v="55104"/>
    <n v="44.955615000000002"/>
    <n v="-93.167019999999994"/>
    <m/>
    <m/>
    <m/>
    <m/>
    <m/>
    <m/>
    <m/>
    <m/>
    <s v="Metro"/>
    <x v="3"/>
  </r>
  <r>
    <x v="12"/>
    <d v="2021-02-13T00:00:00"/>
    <x v="514"/>
    <s v="Elk River"/>
    <s v="Sherburne"/>
    <s v="MN"/>
    <s v="Sportech's expansion plans consist of constructing a 91,050 square foot addition to its existing manufacturing facility. Applied for tax abatement of property taxes of up to $388,800 with Elk River."/>
    <s v="MF"/>
    <n v="8388775"/>
    <n v="85"/>
    <x v="0"/>
    <m/>
    <x v="57"/>
    <x v="1"/>
    <s v="https://www.hometownsource.com/classifieds/star_news/community/announcements/legal/notice_of_public_hearing/march-1-ph-sportech-expansion-project/pdfdisplayad_59f245c3-f971-5cc2-9ec3-f81d2869bba8.html"/>
    <m/>
    <s v="10800 175th Ave NW"/>
    <n v="55330"/>
    <n v="45.287835000000001"/>
    <n v="-93.543792999999994"/>
    <s v="Government"/>
    <s v="JCF"/>
    <n v="182000"/>
    <m/>
    <m/>
    <m/>
    <m/>
    <m/>
    <s v="Central"/>
    <x v="3"/>
  </r>
  <r>
    <x v="12"/>
    <d v="2021-02-14T00:00:00"/>
    <x v="515"/>
    <s v="Minneapolis"/>
    <s v="Hennepin"/>
    <s v="MN"/>
    <s v="NetSPI, an enterprise-security tester and system-vulnerability manager, said it grew sales 35% for a fourth year in a row and is approaching revenue of $50 million. Its employs more than 200 workers around the country and expects to add up to 50 more this year. The firm works with large banks and several units of the Department of Defense. Like its clients, NetSPI had to adjust to remote work."/>
    <m/>
    <m/>
    <n v="50"/>
    <x v="0"/>
    <m/>
    <x v="3"/>
    <x v="4"/>
    <s v="https://www.startribune.com/growth-accelerates-for-twin-cities-cybersecurity-businesses/600023160/"/>
    <s v="Star Tribune"/>
    <s v="800 Washington Ave N, Ste 670"/>
    <n v="55401"/>
    <n v="44.989386000000003"/>
    <n v="-93.278626000000003"/>
    <m/>
    <m/>
    <m/>
    <m/>
    <m/>
    <m/>
    <m/>
    <m/>
    <s v="Metro"/>
    <x v="3"/>
  </r>
  <r>
    <x v="12"/>
    <d v="2021-02-18T00:00:00"/>
    <x v="516"/>
    <s v="Rochester"/>
    <s v="Olmsted"/>
    <s v="MN"/>
    <s v="Google To Open First Minnesota Office and lease space at the Collider Coworking space in downtown Rochester. Google execs declined to share specific hiring plans or an exact opening date for the new space, beyond saying a “handful of Googlers” will work in the office when it opens._x000a__x000a_The office will primarily house software engineers working in two Google divisions: Google Cloud and Google Health."/>
    <m/>
    <m/>
    <m/>
    <x v="0"/>
    <m/>
    <x v="29"/>
    <x v="9"/>
    <s v="https://tcbmag.com/google-to-open-first-minnesota-office-in-rochester/?utm_source=SilverpopMailing&amp;utm_medium=email&amp;utm_campaign=021821_TBRIEFCASE%20(1)"/>
    <s v="Twin Cities Business"/>
    <m/>
    <n v="55901"/>
    <n v="44.075285000000001"/>
    <n v="-92.516915999999995"/>
    <m/>
    <m/>
    <m/>
    <m/>
    <m/>
    <m/>
    <m/>
    <m/>
    <s v="South"/>
    <x v="3"/>
  </r>
  <r>
    <x v="12"/>
    <d v="2021-02-19T00:00:00"/>
    <x v="141"/>
    <s v="St. Louis Park"/>
    <s v="Hennepin"/>
    <s v="MN"/>
    <s v="Office-equipment supplier Loffler Cos. will relocate to St Louis Park in a multimillion-dollar move from Bloomington. Will relocate 400 employees from four buildings in Bloomington. Paid just over $9 million for the 150,000-square-foot former Sam's Club, to be converted to a headquarters and warehouse space, consolidating operations._x000a_Warehouse workers will move by the end of March. Office workers will move by early 2022 after renovations are done."/>
    <s v="HQ, WH"/>
    <n v="9000000"/>
    <m/>
    <x v="0"/>
    <n v="150000"/>
    <x v="4"/>
    <x v="10"/>
    <s v="https://www.startribune.com/shuttered-sam-s-club-in-st-louis-park-will-become-a-corporate-headquarters/600024961/"/>
    <s v="Star Tribune"/>
    <s v="1101 E 78th St, Ste 200"/>
    <n v="55420"/>
    <n v="44.861451000000002"/>
    <n v="-93.259390999999994"/>
    <m/>
    <m/>
    <m/>
    <m/>
    <m/>
    <m/>
    <m/>
    <m/>
    <s v="Metro"/>
    <x v="3"/>
  </r>
  <r>
    <x v="12"/>
    <d v="2021-02-26T00:00:00"/>
    <x v="433"/>
    <s v="Duluth"/>
    <s v="St Louis"/>
    <s v="MN"/>
    <s v="Cirrus saw its steepest drop in sales in the spring, when uncertainty over the pandemic's effect on the economy caused quarterly sales to plummet nearly 40% year over year. _x000a_Sales improved steadily after that. In total the company reported $491.7 million in billings in 2020. Sales of the $2 million Vision jet helped drive record billings of $547.3 million in 2019._x000a__x000a_Cirrus has more than 100 jobs advertised for its facilities in Duluth, Grand Forks, N.D. and Knoxville, Tenn."/>
    <m/>
    <m/>
    <m/>
    <x v="0"/>
    <m/>
    <x v="22"/>
    <x v="1"/>
    <s v="https://www.startribune.com/duluth-based-cirrus-aircraft-sales-hurt-by-pandemic-rebounded-late-in-2020/600027938/"/>
    <s v="Star Tribune"/>
    <s v=" 4515 Taylor Cir,"/>
    <n v="55811"/>
    <n v="46.838329000000002"/>
    <n v="-92.203635000000006"/>
    <m/>
    <m/>
    <m/>
    <m/>
    <m/>
    <m/>
    <m/>
    <m/>
    <s v="North"/>
    <x v="3"/>
  </r>
  <r>
    <x v="12"/>
    <d v="2021-02-27T00:00:00"/>
    <x v="312"/>
    <s v="Eden Prairie"/>
    <s v="Hennepin"/>
    <s v="MN"/>
    <s v="Arctic Wolf, a cybersecurity firm that moved its headquarters from Silicon Valley to Eden Prairie last year, is growing fast. Now, 200 of the firm's 700 employees are based in Eden Prairie. In another 12 months, there should be 350. Arctic Wolf is ranked third on Energage's national Top Workplaces list for companies with 100 to 499 employees. "/>
    <m/>
    <m/>
    <n v="150"/>
    <x v="0"/>
    <m/>
    <x v="3"/>
    <x v="4"/>
    <s v="https://www.startribune.com/eden-prairie-s-arctic-wolf-is-employee-focused-and-growing/600027806/"/>
    <s v="Star Tribune"/>
    <s v="8939 Columbine Rd #150"/>
    <n v="55347"/>
    <n v="44.841734000000002"/>
    <n v="-93.441980999999998"/>
    <m/>
    <m/>
    <m/>
    <m/>
    <m/>
    <m/>
    <m/>
    <m/>
    <s v="Metro"/>
    <x v="3"/>
  </r>
  <r>
    <x v="12"/>
    <d v="2021-02-28T00:00:00"/>
    <x v="517"/>
    <s v="Minneapolis"/>
    <s v="Hennepin"/>
    <s v="MN"/>
    <s v="MDI has been a good financial performer over the last decade, as well as a shining example of the power of workforce inclusion. Its leaders have plans to expand the nonprofit manufacturer that employs 562 people, including nearly 190 with disabilities. MDI is a nonprofit &quot;social enterprise&quot; that gets 95% of revenue from sales.  "/>
    <m/>
    <m/>
    <m/>
    <x v="0"/>
    <m/>
    <x v="58"/>
    <x v="5"/>
    <s v="https://www.startribune.com/mdi-a-pioneer-in-workforce-inclusion-seeks-further-expansion/600028676/"/>
    <s v="Star Tribune"/>
    <s v="3501 Broadway St NE, Ste 100"/>
    <n v="55413"/>
    <n v="45.001533000000002"/>
    <n v="-93.210010999999994"/>
    <m/>
    <m/>
    <m/>
    <m/>
    <m/>
    <m/>
    <m/>
    <m/>
    <s v="Metro"/>
    <x v="3"/>
  </r>
  <r>
    <x v="12"/>
    <d v="2021-03-01T00:00:00"/>
    <x v="518"/>
    <s v="St. Louis Park"/>
    <s v="Hennepin"/>
    <s v="MN"/>
    <s v="Nordic Ware is proposing a 45,000-square-foot addition to its warehouse and loading dock operations at the company's St. Louis Park headquarters. Also includes a new small cafe with an outdoor patio. _x000a_The expansion will nearly double the amount of loading dock doors available at the St. Louis Park site. Currently Nordic Ware is renting a shipping facility in Golden Valley to handle all of its orders."/>
    <s v="WH, HQ, RT"/>
    <m/>
    <m/>
    <x v="0"/>
    <n v="45000"/>
    <x v="59"/>
    <x v="1"/>
    <s v="https://www.bizjournals.com/twincities/news/2021/03/01/nordic-ware-cafe-warehouse-expansion-building-9.html"/>
    <s v="MSP Business Journal"/>
    <s v="5005 County Road 25"/>
    <n v="55416"/>
    <n v="44.944020000000002"/>
    <n v="-93.343669000000006"/>
    <m/>
    <m/>
    <m/>
    <m/>
    <m/>
    <m/>
    <m/>
    <m/>
    <s v="Metro"/>
    <x v="3"/>
  </r>
  <r>
    <x v="12"/>
    <d v="2021-03-02T00:00:00"/>
    <x v="519"/>
    <s v="Minneapolis"/>
    <s v="Hennepin"/>
    <s v="MN"/>
    <s v="Target will invest $4 billion annually to open more stores, enhance its fulfillment services and strengthen its supply chain. In order to scale up its fulfillment operation, the company is testing a &quot;Mixing Center&quot; in Minneapolis and expects to open five more this year._x000a__x000a_The Minneapolis facility, located in a 400,000-square-foot building Target bought last summer for $17.4M, will collect online orders from local stores and sort them into efficient routes for carrier delivery."/>
    <s v="WH"/>
    <n v="17400000"/>
    <m/>
    <x v="0"/>
    <n v="399000"/>
    <x v="0"/>
    <x v="8"/>
    <s v="https://www.bizjournals.com/twincities/news/2021/03/02/target-investment-sorting-centers-expanded-options.html"/>
    <s v="MSP Business Journal"/>
    <s v="33 South 6th St"/>
    <n v="55402"/>
    <n v="44.977378000000002"/>
    <n v="-93.273094"/>
    <m/>
    <m/>
    <m/>
    <m/>
    <m/>
    <m/>
    <m/>
    <m/>
    <s v="Metro"/>
    <x v="3"/>
  </r>
  <r>
    <x v="12"/>
    <d v="2021-03-03T00:00:00"/>
    <x v="520"/>
    <s v="Austin"/>
    <s v="Mower"/>
    <s v="MN"/>
    <s v="Nu-Tek BioSciences manufactures industrial ingredients used in the development and manufacturing of pharmaceuticals (including for COVID vaccines). Will build a new manufacturing facility in Austin, MN that will be the first dedicated, animal-free peptone, and protein hydrolysate manufacturing facility in the U.S. Construction is expected to begin in the Spring of 2021._x000a__x000a_The expansion will create 35 high quality jobs within the next two years. DEED grant awards: MIF $125K, JCF $175K. "/>
    <s v="MF, RD"/>
    <n v="35000000"/>
    <n v="35"/>
    <x v="0"/>
    <m/>
    <x v="28"/>
    <x v="1"/>
    <s v="https://www.businesswire.com/news/home/20210303005281/en/Nu-Tek-BioSciences-to-Build-Dedicated-Animal-free-Peptone-Manufacturing-Facility-to-Service-Growing-Biologics-Supply-Chain-Demands"/>
    <m/>
    <m/>
    <n v="55912"/>
    <n v="43.699305000000003"/>
    <n v="-92.976817999999994"/>
    <s v="Government"/>
    <s v="JCF $175K, MIF $325K, JTIP $338K"/>
    <n v="838360"/>
    <m/>
    <m/>
    <m/>
    <m/>
    <m/>
    <s v="South"/>
    <x v="3"/>
  </r>
  <r>
    <x v="12"/>
    <d v="2021-03-05T00:00:00"/>
    <x v="521"/>
    <s v="Thief River Falls"/>
    <s v="Pennington"/>
    <s v="MN"/>
    <s v="Northern Pride has begun work on a multimillion dollar expansion project. Northern Pride recently purchased the former Northwest Beverage building and plans to use the building for further turkey processing, including deboning and preparing other packaged products._x000a__x000a_Northern Pride anticipates employing an additional 15 to 20 full-time employees year-round at this location. Northern Pride plans to extensively invest in the building to renovate it and modify it._x000a_DEED MIF: $200K"/>
    <s v="MF"/>
    <n v="2118445"/>
    <n v="20"/>
    <x v="0"/>
    <m/>
    <x v="1"/>
    <x v="1"/>
    <s v="https://trftimes.com/news/16310/trf-seeks-200000-loan-on-behalf-of-northern-pride"/>
    <m/>
    <s v="518 Pennington Ave S,"/>
    <n v="56701"/>
    <n v="48.113188000000001"/>
    <n v="-96.176660999999996"/>
    <s v="Government"/>
    <s v="MIF "/>
    <n v="200000"/>
    <m/>
    <m/>
    <m/>
    <m/>
    <m/>
    <s v="North"/>
    <x v="3"/>
  </r>
  <r>
    <x v="12"/>
    <d v="2021-03-08T00:00:00"/>
    <x v="326"/>
    <s v="Arden Hills"/>
    <s v="Ramsey"/>
    <s v="MN"/>
    <s v="Boston Scientific proposes to expand their manufacturing facility at Building 14, in the northwest corner of the Arden Hills campus. The expansion will mainly house development and production of lithium batteries used in medical devices, and is a 'dry room', a space maintained at less than 1% relative humidity, required for handling lithium. The 17,500 Sqft addition also includes office and conference space. The project is will generate 150 new jobs over the next three years. _x000a_DEED JCF Award $840K."/>
    <s v="MF"/>
    <n v="20000000"/>
    <n v="150"/>
    <x v="0"/>
    <n v="17500"/>
    <x v="11"/>
    <x v="1"/>
    <s v="https://www.cityofardenhills.org/AgendaCenter/ViewFile/Minutes/_03082021-962"/>
    <s v="City of Arden Hills"/>
    <s v="4100 HAMLINE AVENUE NORTH"/>
    <n v="55112"/>
    <n v="45.067286000000003"/>
    <n v="-93.151132000000004"/>
    <s v="Government"/>
    <s v="JCF $840K"/>
    <n v="840000"/>
    <m/>
    <m/>
    <m/>
    <m/>
    <m/>
    <s v="Metro"/>
    <x v="3"/>
  </r>
  <r>
    <x v="12"/>
    <d v="2021-03-08T00:00:00"/>
    <x v="326"/>
    <s v="Maple Grove"/>
    <s v="Hennepin"/>
    <s v="MN"/>
    <s v="Boston Scientific, a  medical device company, plans to construct a fourth building on its campus. A two-story, 76,000-square-foot building will double the company's manufacturing space in Maple Grove for components of its Watchman device. Construction began last summer on the project and should be complete at the end of this year. Boston Scientific has more than 10,000 employees in Minnesota, more than it has in its home state of Massachusetts."/>
    <s v="MF"/>
    <m/>
    <m/>
    <x v="0"/>
    <n v="78000"/>
    <x v="11"/>
    <x v="1"/>
    <s v="https://ccxmedia.org/news/boston-scientific-plans-to-add-new-maple-grove-building/"/>
    <s v="CCX Media"/>
    <s v="1 Scimed Pl,"/>
    <n v="55311"/>
    <n v="45.102491000000001"/>
    <n v="-93.468008999999995"/>
    <m/>
    <m/>
    <m/>
    <m/>
    <m/>
    <m/>
    <m/>
    <m/>
    <s v="Metro"/>
    <x v="3"/>
  </r>
  <r>
    <x v="12"/>
    <d v="2021-03-10T00:00:00"/>
    <x v="522"/>
    <s v="Maple Grove"/>
    <s v="Hennepin"/>
    <s v="MN"/>
    <s v="All Integrated Solutions (AIS), a division of MSC Industrial Direct relocated to a new distribution center in Maple Grove, from New Brighton._x000a__x000a_The new 52,000-SF facility is 170% larger than AIS' previous distribution center in New Brighton and utilizes a state-of-the-art warehouse system with narrow aisles, wire-guided material handling equipment and 32-foot ceilings to improve storage efficiency. Franksville, Wis.-based AIS provides fasteners, components and tools to the manufacturing sector."/>
    <s v="WH"/>
    <m/>
    <m/>
    <x v="0"/>
    <n v="21400"/>
    <x v="27"/>
    <x v="1"/>
    <s v="https://www.bizjournals.com/twincities/news/2021/03/10/all-integrated-solutions-larger-distribution-cente.html"/>
    <s v="MSP Business Journal"/>
    <s v="10680 Fountains Drive"/>
    <n v="55369"/>
    <n v="45.092244999999998"/>
    <n v="-93.414507"/>
    <m/>
    <m/>
    <m/>
    <m/>
    <m/>
    <m/>
    <m/>
    <m/>
    <s v="Metro"/>
    <x v="3"/>
  </r>
  <r>
    <x v="12"/>
    <d v="2021-03-15T00:00:00"/>
    <x v="523"/>
    <s v="Albertville"/>
    <s v="Wright"/>
    <s v="MN"/>
    <s v="Albertville's new Business Park will include an industrial manufacturing facility for Advanced Volumetric Alliance (AVA). AVA will bring at least 110 new jobs to Albertville within its first two years, paying a median wage of over $27/hour. Construction on AVA's new 180,000 square-foot manufacturing   facility will begin this spring or summer._x000a_TIF assistance would total up to $2.26 million in tax benefits._x000a_DEED MIF $450K, JCF $175, plus local EDA TIF $2.26M"/>
    <s v="MF"/>
    <n v="31233190"/>
    <n v="135"/>
    <x v="0"/>
    <n v="180000"/>
    <x v="60"/>
    <x v="1"/>
    <s v="https://northwrightcounty.today/2021/03/city-of-albertville-approves-industrial-facility-for-towns-northwest-corner/"/>
    <m/>
    <m/>
    <n v="55301"/>
    <n v="45.258673000000002"/>
    <n v="-93.664342000000005"/>
    <s v="Government"/>
    <s v="MIF $450K, JCF $175, TIF $2.26M, JTIP (MJSP) $400K, ATIP (MJSP) $20K"/>
    <n v="3305000"/>
    <m/>
    <m/>
    <m/>
    <m/>
    <m/>
    <s v="Central"/>
    <x v="3"/>
  </r>
  <r>
    <x v="12"/>
    <d v="2021-03-15T00:00:00"/>
    <x v="524"/>
    <s v="Saint Paul"/>
    <s v="Ramsey"/>
    <s v="MN"/>
    <s v="Kalera, an Orlando-based vertical farming company, purchased a facility in St. Paul. Karlera will invest $3.5 million to convert into its 8th growing facility, which will create about 70 new jobs. Kalera bought the former Urban Organics building for $3.65 million._x000a__x000a_The St. Paul facility will grow millions of heads of lettuce per year for retailers and restaurants. Kalera's St. Paul location will shorten the travel time for greens from days to hours, preserving nutrients, freshness and flavor._x000a_Update, May 2021: DEED MIF award $275K"/>
    <s v="Other"/>
    <n v="7150000"/>
    <n v="70"/>
    <x v="0"/>
    <n v="78857"/>
    <x v="61"/>
    <x v="14"/>
    <s v="https://www.bizjournals.com/twincities/news/2021/03/15/kalera-st-paul-facility-millions-lettuce.html"/>
    <m/>
    <m/>
    <n v="55104"/>
    <n v="44.955615000000002"/>
    <n v="-93.167019999999994"/>
    <s v="Government"/>
    <s v="MIF"/>
    <n v="275000"/>
    <m/>
    <m/>
    <m/>
    <m/>
    <m/>
    <s v="Metro"/>
    <x v="3"/>
  </r>
  <r>
    <x v="12"/>
    <d v="2021-03-23T00:00:00"/>
    <x v="525"/>
    <s v="Bayport"/>
    <s v="Washington"/>
    <s v="MN"/>
    <s v="Andersen Windows and Doors is looking to hire 1,000 workers this year for its three Twin Cities factories and other operations nationwide as a home improvement and housing construction boom drives demand for its products._x000a__x000a_The 118-year-old company is looking to immediately add a total of 250 production workers to its headquarters and factory in Bayport and its manufacturing plants in Cottage Grove and North Branch, Minn. It also plans to hire another 750 workers nationwide in 2021. "/>
    <m/>
    <m/>
    <n v="250"/>
    <x v="0"/>
    <m/>
    <x v="62"/>
    <x v="1"/>
    <s v="https://www.startribune.com/andersen-windows-marvin-look-to-add-1-500-workers-amid-housing-construction-boom/600037664/"/>
    <s v="Star Tribune"/>
    <s v="100 4th Ave N"/>
    <n v="55003"/>
    <n v="45.02431"/>
    <n v="-92.778187000000003"/>
    <m/>
    <m/>
    <m/>
    <m/>
    <m/>
    <m/>
    <m/>
    <m/>
    <s v="Metro"/>
    <x v="3"/>
  </r>
  <r>
    <x v="12"/>
    <d v="2021-03-23T00:00:00"/>
    <x v="525"/>
    <s v="Cottage Grove"/>
    <s v="Washington"/>
    <s v="MN"/>
    <s v="Andersen Windows and Doors is looking to hire 1,000 workers this year for its three Twin Cities factories and other operations nationwide as a home improvement and housing construction boom drives demand for its products._x000a__x000a_The 118-year-old company is looking to immediately add a total of 250 production workers to its headquarters and factory in Bayport and its manufacturing plants in Cottage Grove and North Branch, Minn. It also plans to hire another 750 workers nationwide in 2021. "/>
    <m/>
    <m/>
    <m/>
    <x v="0"/>
    <m/>
    <x v="62"/>
    <x v="1"/>
    <s v="https://www.startribune.com/andersen-windows-marvin-look-to-add-1-500-workers-amid-housing-construction-boom/600037664/"/>
    <s v="Star Tribune"/>
    <s v="9900 Jamaica Ave S"/>
    <n v="55016"/>
    <n v="44.805760999999997"/>
    <n v="-92.936406000000005"/>
    <m/>
    <m/>
    <m/>
    <m/>
    <s v="Andersen Corp"/>
    <s v="Bayport"/>
    <s v="MN"/>
    <m/>
    <s v="Metro"/>
    <x v="3"/>
  </r>
  <r>
    <x v="12"/>
    <d v="2021-03-23T00:00:00"/>
    <x v="525"/>
    <s v="North Branch"/>
    <s v="Chisago"/>
    <s v="MN"/>
    <s v="Andersen Windows and Doors is looking to hire 1,000 workers this year for its three Twin Cities factories and other operations nationwide as a home improvement and housing construction boom drives demand for its products._x000a__x000a_The 118-year-old company is looking to immediately add a total of 250 production workers to its headquarters and factory in Bayport and its manufacturing plants in Cottage Grove and North Branch, Minn. It also plans to hire another 750 workers nationwide in 2021. "/>
    <m/>
    <m/>
    <m/>
    <x v="0"/>
    <m/>
    <x v="62"/>
    <x v="1"/>
    <s v="https://www.startribune.com/andersen-windows-marvin-look-to-add-1-500-workers-amid-housing-construction-boom/600037664/"/>
    <s v="Star Tribune"/>
    <s v="39811 Golden Ave"/>
    <n v="55056"/>
    <n v="45.525526999999997"/>
    <n v="-92.975840000000005"/>
    <m/>
    <m/>
    <m/>
    <m/>
    <s v="Andersen Corp"/>
    <s v="Bayport"/>
    <s v="MN"/>
    <m/>
    <s v="Central"/>
    <x v="3"/>
  </r>
  <r>
    <x v="12"/>
    <d v="2021-03-23T00:00:00"/>
    <x v="526"/>
    <s v="Warroad"/>
    <s v="Roseau"/>
    <s v="MN"/>
    <s v="Competitor Marvin Cos. is seeing a similar spike in demand with the jump in housing construction. Marvin is looking to hire about 100 employees for its headquarters factory in Warroad, Minn., and 400 more nationwide."/>
    <m/>
    <m/>
    <n v="100"/>
    <x v="0"/>
    <m/>
    <x v="62"/>
    <x v="1"/>
    <s v="https://www.startribune.com/andersen-windows-marvin-look-to-add-1-500-workers-amid-housing-construction-boom/600037664/"/>
    <s v="Star Tribune"/>
    <s v="PO Box 100"/>
    <n v="56763"/>
    <n v="48.933329999999998"/>
    <n v="-95.35"/>
    <m/>
    <m/>
    <m/>
    <m/>
    <m/>
    <m/>
    <m/>
    <m/>
    <s v="North"/>
    <x v="3"/>
  </r>
  <r>
    <x v="12"/>
    <d v="2021-03-23T00:00:00"/>
    <x v="527"/>
    <s v="Plymouth"/>
    <s v="Hennepin"/>
    <s v="MN"/>
    <s v="Officials at Pella's Plymouth plant said the Iowa based company is also hiring, and plans to add 1,500 workers nationwide. Fewer than 100 of the new jobs will be in Minnesota."/>
    <m/>
    <m/>
    <m/>
    <x v="0"/>
    <m/>
    <x v="62"/>
    <x v="1"/>
    <s v="https://www.startribune.com/andersen-windows-marvin-look-to-add-1-500-workers-amid-housing-construction-boom/600037664/"/>
    <s v="Star Tribune"/>
    <s v="13810 24th Ave N # 430"/>
    <n v="55441"/>
    <n v="45.006137000000003"/>
    <n v="-93.456317999999996"/>
    <m/>
    <m/>
    <m/>
    <m/>
    <m/>
    <m/>
    <m/>
    <m/>
    <s v="Metro"/>
    <x v="3"/>
  </r>
  <r>
    <x v="12"/>
    <d v="2021-03-25T00:00:00"/>
    <x v="528"/>
    <s v="Minneapolis"/>
    <s v="Hennepin"/>
    <s v="MN"/>
    <s v="The U.K.-based professional services firm Ernst &amp; Young will lease 30,536 square feet of office space at the Dayton’s Project. Ernst &amp; Young’s space will be on the fifth floor of the 12-story building. The firm, which is based in the U.K., will house about 800 of its Minneapolis employees at the Dayton’s Project. Ernst &amp; Young currently has an office in the U.S. Bank Plaza on S. 6th Street."/>
    <s v="OF"/>
    <m/>
    <m/>
    <x v="0"/>
    <n v="30536"/>
    <x v="10"/>
    <x v="4"/>
    <s v="https://tcbmag.com/daytons-project-lands-ernst-young-as-first-office-tenant/"/>
    <s v="Twin Cities Business"/>
    <s v="700 Nicollet Mall"/>
    <n v="55402"/>
    <n v="44.976675999999998"/>
    <n v="-93.272932999999995"/>
    <m/>
    <m/>
    <m/>
    <m/>
    <m/>
    <m/>
    <m/>
    <m/>
    <s v="Metro"/>
    <x v="3"/>
  </r>
  <r>
    <x v="12"/>
    <d v="2021-03-26T00:00:00"/>
    <x v="529"/>
    <s v="Brooklyn Park"/>
    <s v="Hennepin"/>
    <s v="MN"/>
    <s v="Elk River-based Cretex Cos. on Friday announced plans for a 248,000-square-foot facility, with manufacturing and warehouse spaces, for medical-device components in Brooklyn Park. The project will break ground in April, with completion expected by the end of 2021._x000a__x000a_Plan to consolidate manufacturing operations now spread out across 2 smaller Cretex facilities (Meier and JunoPacific) in Anoka. About 300 employees shift to the new worksite in 2022. _x000a__x000a_DEED Awards: MIF $800K, JCF $840K"/>
    <s v="OF, MFG, WH"/>
    <n v="38400000"/>
    <n v="136"/>
    <x v="0"/>
    <n v="248000"/>
    <x v="11"/>
    <x v="1"/>
    <s v="https://www.bizjournals.com/twincities/news/2021/03/26/cretex-cos-medical-manufacturing-brookly-park.html"/>
    <s v="MSP Business Journal"/>
    <m/>
    <n v="55316"/>
    <n v="45.092737999999997"/>
    <n v="-93.282939999999996"/>
    <s v="Government"/>
    <s v="MIF $800K, JCF $840K"/>
    <n v="1640000"/>
    <m/>
    <m/>
    <m/>
    <m/>
    <m/>
    <s v="Metro"/>
    <x v="3"/>
  </r>
  <r>
    <x v="12"/>
    <d v="2021-03-29T00:00:00"/>
    <x v="530"/>
    <s v="Saint Paul"/>
    <s v="Ramsey"/>
    <s v="MN"/>
    <s v="Freight transportation company Alter Logistics plans a $20 million expansion at its shipping terminal on the St. Paul riverfront, where it shifts bulk commodities like fertilizer and road salt on and off of river barges. Alter will also relocate its metal-recycling operation._x000a__x000a_Alter aims to increase its capacity byabout one-third, loading or unloading an additional 300,000 to 400,000 short tons each year._x000a__x000a_The economic impact is estimated at about $3.8M to $5.1M annually, once the expansion project is complete."/>
    <s v="WH, Other"/>
    <n v="20000000"/>
    <m/>
    <x v="0"/>
    <m/>
    <x v="0"/>
    <x v="3"/>
    <s v="https://www.bizjournals.com/twincities/news/2021/03/29/alter-logistics-plans-dock-expansion.html"/>
    <s v="MSP Business Journal"/>
    <s v="795 Barge Channel Rd"/>
    <n v="55107"/>
    <n v="44.921492000000001"/>
    <n v="-93.056105000000002"/>
    <m/>
    <m/>
    <m/>
    <m/>
    <m/>
    <m/>
    <m/>
    <m/>
    <s v="Metro"/>
    <x v="3"/>
  </r>
  <r>
    <x v="12"/>
    <d v="2021-03-30T00:00:00"/>
    <x v="531"/>
    <s v="Cottonwood"/>
    <s v="Lyon"/>
    <s v="MN"/>
    <s v="Legend Cabinetry bought the former Mid-Continent Cabinetry plant last spring and began operations there late last year. They invested $4 million to get the 164,000-SF facility ready, adding new machinery and equipment. Cabinets are made from birch, rotary cut veneer, and high density fiberboard._x000a_ _x000a_Around 65 former Mid Continent employees were brought back. But the company needs more workers."/>
    <s v="MF"/>
    <n v="4000000"/>
    <n v="65"/>
    <x v="0"/>
    <m/>
    <x v="24"/>
    <x v="1"/>
    <s v="https://www.woodworkingnetwork.com/news/woodworking-industry-news/former-mid-continent-cabinetry-plant-gives-birth-new-operation"/>
    <s v="Woodworking Network"/>
    <s v="67 E 2nd St"/>
    <n v="56229"/>
    <n v="44.606242000000002"/>
    <n v="-95.668148000000002"/>
    <m/>
    <m/>
    <m/>
    <m/>
    <m/>
    <m/>
    <m/>
    <m/>
    <s v="South"/>
    <x v="3"/>
  </r>
  <r>
    <x v="13"/>
    <d v="2021-04-06T00:00:00"/>
    <x v="532"/>
    <s v="Maple Grove"/>
    <s v="Hennepin"/>
    <s v="MN"/>
    <s v="New Orleans-based Sensiva Health manufactures testing kits for Covid-19 and has signed a long-term lease at the Arbor Lakes Business Park in Maple Grove. Sensiva is leasing 52,888 square feet of space at the 10500 Arbor Lakes building in the park. The Maple Grove site will be Sensiva’s second location in the Midwest. The company also operates a facility in New Berlin, Wisconsin. Sensiva has corporate offices in Florida and South Carolina._x000a_"/>
    <s v="MF"/>
    <m/>
    <m/>
    <x v="0"/>
    <n v="52888"/>
    <x v="11"/>
    <x v="1"/>
    <s v="https://tcbmag.com/covid-19-test-maker-to-lease-space-at-maple-grove-business-park/"/>
    <m/>
    <s v="10640 Fountains Dr"/>
    <n v="55369"/>
    <n v="45.092319000000003"/>
    <n v="-93.414502999999996"/>
    <m/>
    <m/>
    <m/>
    <m/>
    <m/>
    <m/>
    <m/>
    <m/>
    <s v="Metro"/>
    <x v="3"/>
  </r>
  <r>
    <x v="13"/>
    <d v="2021-04-06T00:00:00"/>
    <x v="533"/>
    <s v="Bloomington"/>
    <s v="Hennepin"/>
    <s v="MN"/>
    <s v="Sick AG, a German sensor manufacturer, hopes to begin construction by summer on the first phases of a multiyear, $100 million technology campus that could bring 700 jobs to Bloomington._x000a_The project includes a 120,000-square-foot office and industrial building in the first phase.  Sick first announced expansion plans in 2019, but delayed the project some months later. Further delays arose due to the Covid-19 pandemic._x000a_DEED Awards: $350K MIF."/>
    <s v="OF, MF"/>
    <n v="100000000"/>
    <n v="700"/>
    <x v="0"/>
    <n v="550000"/>
    <x v="23"/>
    <x v="1"/>
    <s v="https://www.woodworkingnetwork.com/news/woodworking-industry-news/former-mid-continent-cabinetry-plant-gives-birth-new-operation"/>
    <m/>
    <m/>
    <n v="55425"/>
    <n v="44.849719999999998"/>
    <n v="-93.252832999999995"/>
    <s v="Government"/>
    <s v="MIF"/>
    <n v="350000"/>
    <m/>
    <s v="SICK"/>
    <m/>
    <m/>
    <s v="Germany"/>
    <s v="Metro"/>
    <x v="3"/>
  </r>
  <r>
    <x v="13"/>
    <d v="2021-04-06T00:00:00"/>
    <x v="493"/>
    <s v="Eden Prairie"/>
    <s v="Hennepin"/>
    <s v="MN"/>
    <s v="SunOpta will move to a new 65,000-square-foot  headquarters offices from Edina to Eden Prairie. SunOpta expects to begin work on the $20 million office project in May and move in by December. The move will double its total square footage and increasing space to R&amp;D operations. SunOpta's business includes developing soy- and nut-based milks for business clients._x000a__x000a_SunOpta is legally headquartered in Canada, but its CEO and other leadership are based in Edina."/>
    <s v="HQ, OF, RD"/>
    <n v="20000000"/>
    <m/>
    <x v="0"/>
    <n v="65000"/>
    <x v="1"/>
    <x v="1"/>
    <s v="https://www.bizjournals.com/twincities/news/2021/04/06/sunopta-executive-offices-eden-prairie.html"/>
    <m/>
    <s v="7078 Shady Oak Road"/>
    <n v="55344"/>
    <n v="44.875621000000002"/>
    <n v="-93.405733999999995"/>
    <m/>
    <m/>
    <m/>
    <m/>
    <s v="SunOpta"/>
    <m/>
    <m/>
    <s v="CANADA"/>
    <s v="Metro"/>
    <x v="3"/>
  </r>
  <r>
    <x v="13"/>
    <d v="2021-04-12T00:00:00"/>
    <x v="534"/>
    <s v="St. Louis Park"/>
    <s v="Hennepin"/>
    <s v="MN"/>
    <s v="Digital solutions and talent firm Horizontal plans to lease another 12,000 SF of office space at its St. Louis Park headquarters. Horizontal's new space will accommodate 65 hires it made during the pandemic, and the majority of around 100 more hires the firm is likely to hire this year. The move will boost Horizontal's from about 40,000 SF to 52,000 SF of office space. As of March 10, Horizontal employed 178 workers locally and 1,045 companywide."/>
    <s v="HQ, OF"/>
    <m/>
    <n v="100"/>
    <x v="0"/>
    <n v="12000"/>
    <x v="3"/>
    <x v="4"/>
    <s v="https://www.bizjournals.com/twincities/news/2021/04/12/horizontal-plots-local-return-to-in-person-work.html"/>
    <m/>
    <s v="1660 MN-100 #200"/>
    <n v="55416"/>
    <n v="44.964499000000004"/>
    <n v="-93.345326"/>
    <m/>
    <m/>
    <m/>
    <m/>
    <m/>
    <m/>
    <m/>
    <m/>
    <s v="Metro"/>
    <x v="3"/>
  </r>
  <r>
    <x v="13"/>
    <d v="2021-04-13T00:00:00"/>
    <x v="535"/>
    <s v="Minnetonka"/>
    <s v="Hennepin"/>
    <s v="MN"/>
    <s v="Fidelity Investments Inc. wants to hire more financial planners and wealth management associates in the Twin Cities. _x000a__x000a_The Boston-based financial services firm wouldn't provide a definitive number of anticipated local hires. It did say it will add 1,000 people across 20 markets, but that number may not be spread out evenly._x000a__x000a_These new staff positions will be working remote. Fidelity has local offices in Minnetonka, Edina and Oakdale, where the new local hires can go into work on occasion."/>
    <m/>
    <m/>
    <m/>
    <x v="0"/>
    <m/>
    <x v="50"/>
    <x v="6"/>
    <s v="https://www.bizjournals.com/twincities/news/2021/04/13/fidelity-investments-plans-to-expand.html"/>
    <m/>
    <m/>
    <n v="55305"/>
    <n v="44.940461999999997"/>
    <n v="-93.451854999999995"/>
    <m/>
    <m/>
    <m/>
    <m/>
    <m/>
    <m/>
    <m/>
    <m/>
    <s v="Metro"/>
    <x v="3"/>
  </r>
  <r>
    <x v="13"/>
    <d v="2021-04-13T00:00:00"/>
    <x v="536"/>
    <s v="Minneapolis"/>
    <s v="Hennepin"/>
    <s v="MN"/>
    <s v="SiteKick, based in Minneapolis, creates software designed to help construction companies boost efficiency by monitoring projects from afar. The software captures images from smart cameras and environmental readings from sensors at construction sites. _x000a_SiteKick plans to use the $2.3 million in funding raised from private investors for sales and marketing, talent acquisition, streamlining, customer experience and operations, and general growth of the company,"/>
    <m/>
    <m/>
    <m/>
    <x v="0"/>
    <m/>
    <x v="25"/>
    <x v="9"/>
    <s v="https://www.startribune.com/minneapolis-software-startup-gets-2-3m-in-funding-signs-ryan-cos-as-client/600045384/"/>
    <m/>
    <m/>
    <n v="55401"/>
    <n v="44.984577000000002"/>
    <n v="-93.269097000000002"/>
    <m/>
    <m/>
    <m/>
    <m/>
    <m/>
    <m/>
    <m/>
    <m/>
    <s v="Metro"/>
    <x v="3"/>
  </r>
  <r>
    <x v="13"/>
    <d v="2021-04-13T00:00:00"/>
    <x v="444"/>
    <s v="Becker"/>
    <s v="Sherburne"/>
    <s v="MN"/>
    <s v="Xcel Energy has unveiled plans for the largest solar-energy plant in Minnesota by far, a $575 million project in Becker adjacent to the company's Sherco coal-power complex. The solar plant would create 900 union construction jobs and provide enough electricity to power 100,000 Upper Midwest homes._x000a_The big solar farm, still to be approved by the PUC, would be built in 2022 to 2024. Joint project with Edina-based National Grid Renewables (an arm of the British utility company National Grid). Xcel would own and operate the plant."/>
    <s v="U"/>
    <n v="575000000"/>
    <m/>
    <x v="0"/>
    <m/>
    <x v="0"/>
    <x v="17"/>
    <s v="https://www.startribune.com/xcel-wants-to-build-575m-solar-plant-in-becker/600045438/"/>
    <m/>
    <m/>
    <n v="55308"/>
    <n v="45.451864"/>
    <n v="-93.842186999999996"/>
    <m/>
    <m/>
    <m/>
    <m/>
    <m/>
    <m/>
    <m/>
    <m/>
    <s v="Central"/>
    <x v="3"/>
  </r>
  <r>
    <x v="13"/>
    <d v="2021-04-15T00:00:00"/>
    <x v="537"/>
    <s v="Minneapolis"/>
    <s v="Hennepin"/>
    <s v="MN"/>
    <s v="Canada-based Milk Moovement, which produces software to manage the raw milk supply chain, will open an office in Minneapolis. The office will enable further expansion across the US as interest and demand for its software continues to grow. Milk Moovement closed on a US$3.2 million funding round. Notable industry leader Richard Cargill, a member of Cargill’s Board of Directors, is also a personal angel investor."/>
    <s v="OF"/>
    <m/>
    <m/>
    <x v="0"/>
    <m/>
    <x v="25"/>
    <x v="9"/>
    <s v="https://www.milkmoovement.com/blog/dairy-supply-chain-leader-raises-us-3-2-million"/>
    <m/>
    <m/>
    <n v="55402"/>
    <n v="44.975915000000001"/>
    <n v="-93.271825000000007"/>
    <s v="Venture Capital"/>
    <m/>
    <m/>
    <m/>
    <m/>
    <m/>
    <m/>
    <m/>
    <s v="Metro"/>
    <x v="3"/>
  </r>
  <r>
    <x v="13"/>
    <d v="2021-04-22T00:00:00"/>
    <x v="538"/>
    <s v="Minneapolis"/>
    <s v="Hennepin"/>
    <s v="MN"/>
    <s v="Minneapolis tech firm Digital Mass, which specializes in the ubiquitous Salesforce software for business, moved into its new North Loop office Jan. 1. Digital Mass takes up a full floor at 515 N. Washington Ave. The 7,000-square-foot suite is roughly six times the size of its previous office, giving the fast-growing company room to expand. “We’ll probably be close to 35 to 40 people by the end of the year. We doubled last year, and we’re looking to double again this year"/>
    <s v="OF"/>
    <m/>
    <n v="20"/>
    <x v="0"/>
    <n v="7000"/>
    <x v="25"/>
    <x v="9"/>
    <s v="https://www.bizjournals.com/twincities/news/2021/04/22/tech-firm-digital-mass-opens-north-loop-office.html"/>
    <m/>
    <s v="515 N Washington Ave Suite 300"/>
    <n v="55401"/>
    <n v="44.986179"/>
    <n v="-93.275574000000006"/>
    <m/>
    <m/>
    <m/>
    <m/>
    <m/>
    <m/>
    <m/>
    <m/>
    <s v="Metro"/>
    <x v="3"/>
  </r>
  <r>
    <x v="13"/>
    <d v="2021-04-23T00:00:00"/>
    <x v="539"/>
    <s v="Plymouth"/>
    <s v="Hennepin"/>
    <s v="MN"/>
    <s v="Energy Management Collaborative (EMC) plans to add jobs. The lighting technology company moved to a new facility at 2890 Vicksburg Ln. N. in 2018. EMC had hoped for a rapid expansion. However, the COVID-19 pandemic impacted business._x000a__x000a_Now the company is ready to move forward with new product lines coming to market. It added 10 jobs this year and aims to add another 75 jobs by the end of the year."/>
    <s v="MF"/>
    <m/>
    <n v="75"/>
    <x v="0"/>
    <m/>
    <x v="7"/>
    <x v="1"/>
    <s v="https://ccxmedia.org/news/companies-plan-expansion-job-growth-in-plymouth/"/>
    <m/>
    <s v="2890 Vicksburg Ln N,"/>
    <n v="55447"/>
    <n v="45.013520999999997"/>
    <n v="-93.481572"/>
    <m/>
    <m/>
    <m/>
    <m/>
    <m/>
    <m/>
    <m/>
    <m/>
    <s v="Metro"/>
    <x v="3"/>
  </r>
  <r>
    <x v="13"/>
    <d v="2021-04-23T00:00:00"/>
    <x v="540"/>
    <s v="St. Louis Park"/>
    <s v="Hennepin"/>
    <s v="MN"/>
    <s v="St. Louis Park-based Lifesprk had the 17th-largest venture capital raise for a Twin Cities company in 2020, pulling in $16.1 million last March in a round led by California-based Virgo Investment Group. Minnetonka-based Cherry Tree &amp; Associates served as an adviser on the deal. The capital was used to invest in an electronic records system; boost hiring; and expand offerings to include Lifesprk GO!, a transportation service for seniors."/>
    <m/>
    <m/>
    <m/>
    <x v="0"/>
    <m/>
    <x v="63"/>
    <x v="0"/>
    <s v="https://www.bizjournals.com/twincities/news/2021/04/23/series-b-round-senior-care-company-lifesprk.html"/>
    <m/>
    <s v="5320 W 23rd St Suite #130"/>
    <n v="55416"/>
    <n v="44.959981999999997"/>
    <n v="-93.349509999999995"/>
    <s v="Venture Capital"/>
    <m/>
    <m/>
    <m/>
    <m/>
    <m/>
    <m/>
    <m/>
    <s v="Metro"/>
    <x v="3"/>
  </r>
  <r>
    <x v="13"/>
    <d v="2021-04-27T00:00:00"/>
    <x v="413"/>
    <s v="Faribault"/>
    <s v="Rice"/>
    <s v="MN"/>
    <s v="Trystar plans to consolidate the operations in the new Faribault facility. The project involves 50,000 SF expansion to existing facility (Cost of $2.75-$3.5m), capital improvements $750,000), Capital equipment (at least $1.7M), for total project cost of $5M. Expect to create 20 FT jobs over 2 years. Alternate site considered was Covington, Kentucky._x000a_DEED Awards: JCF $175M, MIF $125K. Also EDA $100K. BDPI $2M to Faribault"/>
    <s v="MF"/>
    <n v="5000000"/>
    <n v="20"/>
    <x v="0"/>
    <n v="50000"/>
    <x v="4"/>
    <x v="1"/>
    <s v="https://www.ci.faribault.mn.us/AgendaCenter/ViewFile/Item/11937?fileID=31486"/>
    <s v="City of Faribault"/>
    <s v="15675 Acorn Trail"/>
    <n v="55021"/>
    <n v="44.360785999999997"/>
    <n v="-93.285677000000007"/>
    <s v="Government"/>
    <s v="JCF $175M, MIF $125K, EDA $100K, BDPI $2M"/>
    <n v="400000"/>
    <m/>
    <m/>
    <m/>
    <m/>
    <m/>
    <s v="South"/>
    <x v="3"/>
  </r>
  <r>
    <x v="13"/>
    <d v="2021-04-30T00:00:00"/>
    <x v="322"/>
    <s v="Minneapolis"/>
    <s v="Hennepin"/>
    <s v="MN"/>
    <s v="Puris, a producer of pea protein used in plant-based meat alternatives, expanded its office - with unique in-house lab space - in the 811 Glenwood building. About one-third of the footprint is for collaboration spaces; another one-third is for production-type activities, where there is e a pilot plant and development kitchen; and the remaining third consists of office space.Employees in the office: 50 (hybrid). Opened in April 2021"/>
    <s v="OF, RD"/>
    <m/>
    <m/>
    <x v="0"/>
    <n v="15475"/>
    <x v="1"/>
    <x v="1"/>
    <s v="https://www.bizjournals.com/twincities/news/2022/04/14/cool-offices-puris.html"/>
    <s v="MSP Business Journal"/>
    <s v="811 Glenwood Ave"/>
    <n v="55405"/>
    <n v="44.979579999999999"/>
    <n v="-93.290059999999997"/>
    <m/>
    <m/>
    <m/>
    <m/>
    <m/>
    <m/>
    <m/>
    <m/>
    <s v="Metro"/>
    <x v="3"/>
  </r>
  <r>
    <x v="13"/>
    <d v="2021-05-04T00:00:00"/>
    <x v="541"/>
    <s v="Princeton"/>
    <s v="Sherburne"/>
    <s v="MN"/>
    <s v="In year two of the pandemic, Minnesota's canoe manufacturers and retailers are struggling to keep up with demand.  Princeton, Minn.-based Northstar Canoes increased its staff by over 50% and is on pace to increase its production by nearly 100% over the same time last year. _x000a__x000a_&quot;It comes down to how big of a building we have, how many employees we have and what we're capable of pulling off with our existing infrastructure,&quot; Bear Paulsen, General Manager of Northstar, said."/>
    <m/>
    <m/>
    <m/>
    <x v="0"/>
    <m/>
    <x v="64"/>
    <x v="1"/>
    <s v="https://www.bizjournals.com/twincities/news/2021/05/04/canoe-manufacturers-rise-in-demand.html"/>
    <s v="MSP Business Journal"/>
    <s v="12636 320th Ave"/>
    <n v="55371"/>
    <n v="45.550232000000001"/>
    <n v="-93.589842000000004"/>
    <m/>
    <m/>
    <m/>
    <m/>
    <m/>
    <m/>
    <m/>
    <m/>
    <s v="Central"/>
    <x v="3"/>
  </r>
  <r>
    <x v="13"/>
    <d v="2021-05-04T00:00:00"/>
    <x v="8"/>
    <s v="Edina"/>
    <s v="Hennepin"/>
    <s v="MN"/>
    <s v="Edina-based tech company Sportsdigita has raised $5 million dollars to fuel a growth spurt that CEO Angelina Lawton says will double the firm's size by the end of the year._x000a_Sportsdigita hopes to grow from its current 52 employees to over 100 by the end of the year. It's looking to open an office in Dallas. Sportsdigita's marquee product is Digideck, a cloud-based presentation tool that works like a flashier PowerPoint, including multimedia elements."/>
    <m/>
    <m/>
    <n v="50"/>
    <x v="0"/>
    <m/>
    <x v="25"/>
    <x v="9"/>
    <s v="https://www.bizjournals.com/twincities/inno/stories/fundings/2021/05/04/sportsdigita-raises-5m-double-in-size.html"/>
    <s v="MSP Business Journal"/>
    <s v="7650 Edinborough Way Suite 725"/>
    <n v="55435"/>
    <n v="44.863335999999997"/>
    <n v="-93.324583000000004"/>
    <s v="Venture Capital"/>
    <m/>
    <m/>
    <m/>
    <m/>
    <m/>
    <m/>
    <m/>
    <s v="Metro"/>
    <x v="3"/>
  </r>
  <r>
    <x v="13"/>
    <d v="2021-05-05T00:00:00"/>
    <x v="60"/>
    <s v="St. Cloud"/>
    <s v="Stearns"/>
    <s v="MN"/>
    <s v="The mayor of St. Cloud announced Amazon will open a delivery facility in the city, bringing hundreds of new jobs to the community._x000a__x000a_With the facility expected to open later this year, the company has already begun the permitting process for what will be its second delivery station in Minnesota. "/>
    <s v="WH"/>
    <m/>
    <m/>
    <x v="0"/>
    <m/>
    <x v="0"/>
    <x v="8"/>
    <s v="https://finance-commerce.com/2020/10/new-lakeville-amazon-center-already-in-the-ground/"/>
    <s v="Finance &amp; Commerce"/>
    <s v="4759 Heatherwood Road"/>
    <n v="56301"/>
    <n v="45.486227"/>
    <n v="-94.137316999999996"/>
    <m/>
    <m/>
    <m/>
    <m/>
    <s v="Amazon"/>
    <s v="Seattle"/>
    <s v="WA"/>
    <m/>
    <s v="Central"/>
    <x v="3"/>
  </r>
  <r>
    <x v="13"/>
    <d v="2021-05-06T00:00:00"/>
    <x v="542"/>
    <s v="Saint Paul"/>
    <s v="Ramsey"/>
    <s v="MN"/>
    <s v="Alarm Products was outgrowing its property, which includes a 13,500-square-foot Class C office warehouse built in 1975 on 0.7 acres. The family put their property at 2350 Territorial Road in St. Paul on the market and looked for another location.   Alarm Products closed Wednesday on the $2 million purchase of the Kurt Meyer Building, a 41,300-square-foot Class B industrial building at 2341 St. Croix St. in Rosedale. "/>
    <s v="WH"/>
    <n v="2000000"/>
    <m/>
    <x v="0"/>
    <n v="27800"/>
    <x v="0"/>
    <x v="10"/>
    <s v="https://finance-commerce.com/2021/05/just-sold-st-paul-sale-leads-to-deal-in-roseville/"/>
    <s v="Finance &amp; Commerce"/>
    <s v="2350 W Territorial Rd"/>
    <n v="55114"/>
    <n v="44.964961000000002"/>
    <n v="-93.195715000000007"/>
    <m/>
    <m/>
    <m/>
    <m/>
    <m/>
    <m/>
    <m/>
    <m/>
    <s v="Metro"/>
    <x v="3"/>
  </r>
  <r>
    <x v="13"/>
    <d v="2021-05-07T00:00:00"/>
    <x v="543"/>
    <s v="Plymouth"/>
    <s v="Hennepin"/>
    <s v="MN"/>
    <s v="DEED has awarded $625,000 in grants to assist Silk Road Medical Inc. with its first expansion outside of California, in Plymouth. Silk Road Medical, whose devices focus on reducing the risk of stroke and treatment of carotid artery disease, will come to Plymouth this fall. The company will invest $5.1 million in an approximately 30,000-square foot new manufacturing facility in Plymouth. Expect to create 67 new jobs over the next two years. _x000a_DEED awards $175K JCF, $450K MIF._x000a_"/>
    <s v="MF, RD"/>
    <n v="5135830"/>
    <n v="67"/>
    <x v="0"/>
    <n v="30000"/>
    <x v="11"/>
    <x v="1"/>
    <s v="https://www.bizjournals.com/twincities/news/2021/06/23/california-based-medtech-firm-expands-to-plymouth.html"/>
    <s v="MSP Business Journal"/>
    <s v="3905 Annapolis Ln N"/>
    <n v="55447"/>
    <n v="45.027253000000002"/>
    <n v="-93.455427999999998"/>
    <s v="Government"/>
    <s v="JCF $175K, MIF $450K"/>
    <n v="625000"/>
    <m/>
    <m/>
    <m/>
    <m/>
    <m/>
    <s v="Metro"/>
    <x v="3"/>
  </r>
  <r>
    <x v="13"/>
    <d v="2021-05-10T00:00:00"/>
    <x v="544"/>
    <s v="Bloomington"/>
    <s v="Hennepin"/>
    <s v="MN"/>
    <s v="Adding Mezzanine for new offices. Build-out Cleanrooms and clean room spaces. Areas to support cleanrooms / office (Cafeteria, bathrooms)"/>
    <s v="OF, RD"/>
    <n v="10000000"/>
    <m/>
    <x v="0"/>
    <m/>
    <x v="57"/>
    <x v="1"/>
    <s v="https://www.bloomingtonmn.gov/bldg/permit-status-inspection-results-monthly-building-reports"/>
    <s v="City of Bloomington"/>
    <s v="10851 LOUISIANA AVE S"/>
    <n v="55438"/>
    <n v="44.806108000000002"/>
    <n v="-93.372519999999994"/>
    <m/>
    <m/>
    <m/>
    <m/>
    <m/>
    <m/>
    <m/>
    <m/>
    <s v="Metro"/>
    <x v="3"/>
  </r>
  <r>
    <x v="13"/>
    <d v="2021-05-11T00:00:00"/>
    <x v="545"/>
    <s v="Minneapolis"/>
    <s v="Hennepin"/>
    <s v="MN"/>
    <s v="Minneapolis app maker HomeSpotter acquired by Ontario tech firm_x000a_Lone Wolf Technologies can provide data to bring new services to market.  HomeSpotter has more than 45 employees and 450,000 users across North America. The addition of HomeSpotter gives Lone Wolf a strong foothold in the growing multibillion-dollar market for software focused on real estate transactions. Lone Wolf wants to invest in acquiring talent from the Minneapolis area."/>
    <m/>
    <m/>
    <m/>
    <x v="0"/>
    <m/>
    <x v="3"/>
    <x v="4"/>
    <s v="https://www.startribune.com/minneapolis-app-maker-homespotter-acquired-by-ontario-tech-firm/600055994/"/>
    <s v="Star Tribune"/>
    <s v="301 S 4th Ave #960N"/>
    <n v="55416"/>
    <n v="44.977995999999997"/>
    <n v="-93.263401999999999"/>
    <m/>
    <m/>
    <m/>
    <m/>
    <m/>
    <m/>
    <m/>
    <m/>
    <s v="Metro"/>
    <x v="3"/>
  </r>
  <r>
    <x v="13"/>
    <d v="2021-05-11T00:00:00"/>
    <x v="546"/>
    <s v="Minneapolis"/>
    <s v="Hennepin"/>
    <s v="MN"/>
    <s v="Ovative has 245 nationwide, of whom 210 are at the Minneapolis North Loop office across 3 floors. Since April 2019, Ovative has added 123 employees. Ovative plans to add the eighth floor, which will add 19,150 square feet and room to accommodate up to 314 employees. Ovative hopes to reach that number of employees in the next couple of years. Ovative uses its technology to help firms understand the holistic impact of their efforts, including things like brick-and-mortart sales."/>
    <s v="OF"/>
    <m/>
    <n v="314"/>
    <x v="0"/>
    <n v="19150"/>
    <x v="65"/>
    <x v="4"/>
    <s v="https://www.bizjournals.com/twincities/news/2021/05/11/ovative-doubled-since-2019.html"/>
    <s v="MSP Business Journal"/>
    <s v="729 N Washington Ave floor 10"/>
    <n v="55401"/>
    <n v="44.987941999999997"/>
    <n v="-93.278040000000004"/>
    <m/>
    <m/>
    <m/>
    <m/>
    <m/>
    <m/>
    <m/>
    <m/>
    <s v="Metro"/>
    <x v="3"/>
  </r>
  <r>
    <x v="13"/>
    <d v="2021-05-12T00:00:00"/>
    <x v="515"/>
    <s v="Minneapolis"/>
    <s v="Hennepin"/>
    <s v="MN"/>
    <s v="NetSPI works with companies to thwart cyberattacks and has raised $90 million in minority investments from KKR and Ten Eleven Ventures._x000a__x000a_The new infusion of capital will help the 225-employee software firm develop and improve products, add clients and hire more people. _x000a__x000a_NetSPI, based in downtown Minneapolis, has grown year-over-year revenue by 50% so far compared with 2020, and expects to finish the year with about $50 million in 2021 sales."/>
    <m/>
    <m/>
    <m/>
    <x v="0"/>
    <m/>
    <x v="3"/>
    <x v="4"/>
    <s v="https://www.startribune.com/netspi-a-minneapolis-cyber-security-firm-raises-90-million-new-investors/600056465/?refresh=true"/>
    <s v="Star Tribune"/>
    <s v="800 Washington Ave N, Ste 670"/>
    <n v="55401"/>
    <n v="44.989386000000003"/>
    <n v="-93.278626000000003"/>
    <s v="Venture Capital"/>
    <m/>
    <m/>
    <m/>
    <m/>
    <m/>
    <m/>
    <m/>
    <s v="Metro"/>
    <x v="3"/>
  </r>
  <r>
    <x v="13"/>
    <d v="2021-05-13T00:00:00"/>
    <x v="12"/>
    <s v="Saint Paul"/>
    <s v="Ramsey"/>
    <s v="MN"/>
    <s v="Warranty Platform Upsie Raises $18.2M_x000a_Founder Clarence Bethea hopes his success will encourage other Black entrepreneurs.  Upsie plans to use the new funds to double its staff of 16, increase customer awareness and product offerings._x000a__x000a_“The pandemic sped up the inevitable,” Bethea said of consumers shopping online. “We knew customers wanted more control over warranty purchases. This is a $22 billion opportunity.”"/>
    <m/>
    <m/>
    <n v="8"/>
    <x v="0"/>
    <m/>
    <x v="0"/>
    <x v="6"/>
    <s v="https://tcbmag.com/warranty-platform-upsie-raises-18-2m/"/>
    <s v="Twin Cities Business"/>
    <s v="370 Wabasha St N"/>
    <n v="55102"/>
    <n v="44.946106"/>
    <n v="-93.094076999999999"/>
    <s v="Venture Capital"/>
    <m/>
    <m/>
    <m/>
    <m/>
    <m/>
    <m/>
    <m/>
    <s v="Metro"/>
    <x v="3"/>
  </r>
  <r>
    <x v="13"/>
    <d v="2021-05-17T00:00:00"/>
    <x v="547"/>
    <s v="Fergus Falls"/>
    <s v="Otter Tail"/>
    <s v="MN"/>
    <s v="Vector added 25 jobs in 2021 and this summer, plans to add to the second shift with 20 additional job openings. These increases lead to adding and remodeling 14 new offices, adding an conference room, and expanding the employee breakroom. Other facility improvements include adding 4 new dock doors for shipping out the increased volume of products and leasing 22,000 sq. feet of warehouse space (since April 2020) in addition to the current manufacturing facility."/>
    <s v="MF"/>
    <m/>
    <n v="45"/>
    <x v="0"/>
    <m/>
    <x v="27"/>
    <x v="1"/>
    <s v="https://www.facebook.com/VectorWindows/posts/4156483871054823?comment_id=4166164910086719&amp;reply_comment_id=4166506023385941"/>
    <s v="Company Facebook page"/>
    <s v="1020 International Dr"/>
    <n v="56537"/>
    <n v="46.303581000000001"/>
    <n v="-96.095241999999999"/>
    <m/>
    <m/>
    <m/>
    <m/>
    <m/>
    <m/>
    <m/>
    <m/>
    <s v="Central"/>
    <x v="3"/>
  </r>
  <r>
    <x v="13"/>
    <d v="2021-05-21T00:00:00"/>
    <x v="548"/>
    <s v="Little Falls"/>
    <s v="Morrison"/>
    <s v="MN"/>
    <s v="The Little Falls City Council approved a tax increment financing (TIF) district for North Freeze Dry, LLC. The new company is a joint venture of Barrett Petfood Innovations and Anchor Ingredients._x000a__x000a_The new 87,000-square-foot manufacturing facility in Little Falls will make shelf-stable, freeze-dried pet food. It is an estimated $30 million project that will create 57 jobs over 3 years. ?Construction needs to be completed by Dec. 31, 2022."/>
    <s v="MF"/>
    <n v="30268600"/>
    <n v="57"/>
    <x v="0"/>
    <n v="87000"/>
    <x v="1"/>
    <x v="1"/>
    <s v="https://www.hometownsource.com/morrison_county_record/north-freeze-dry-gets-approval-to-build-new-facility/article_3d072a66-ba01-11eb-89e5-078dbb7e48bd.html"/>
    <s v="Hometown Source (Morrison County Record)"/>
    <s v="15657 18th St NE"/>
    <n v="56345"/>
    <n v="45.980055"/>
    <n v="-94.245867000000004"/>
    <s v="Government"/>
    <s v="JCF $175K, MIF $375K, TIF ($235.6K)"/>
    <n v="785600"/>
    <m/>
    <m/>
    <m/>
    <m/>
    <m/>
    <s v="Central"/>
    <x v="3"/>
  </r>
  <r>
    <x v="13"/>
    <d v="2021-05-24T00:00:00"/>
    <x v="549"/>
    <s v="Eagan"/>
    <s v="Dakota"/>
    <s v="MN"/>
    <s v="Construction Permit City of Eagan for &quot;New pre-cast building&quot;.  Gopher Resource is a recycling facility. Gopher Resource directs most operations from Eagan, Minnesota. Our Eagan recycling facility has remained in the same location since opening in 1946. Other facilities are in Tampa FL."/>
    <s v="Other"/>
    <n v="1300000"/>
    <m/>
    <x v="0"/>
    <m/>
    <x v="55"/>
    <x v="5"/>
    <s v="https://epermits.logis.org/permits/permitdetails.aspx?city=ea&amp;permitnbr=EA168281"/>
    <m/>
    <s v="685 Yankee Doodle Road"/>
    <n v="55121"/>
    <n v="44.834105999999998"/>
    <n v="-93.118352999999999"/>
    <m/>
    <m/>
    <m/>
    <m/>
    <m/>
    <m/>
    <m/>
    <m/>
    <s v="Metro"/>
    <x v="3"/>
  </r>
  <r>
    <x v="13"/>
    <d v="2021-05-30T00:00:00"/>
    <x v="316"/>
    <s v="Minneapolis"/>
    <s v="Hennepin"/>
    <s v="MN"/>
    <s v="To keep up with demand for its virtual photo and video shoot services, Minneapolis-born Soona has leased 13,000 square feet of real estate in the Twin Cities for a digital fulfillment studio. Soona secured $10.2 million in a Series A round of funding to support the expansion last month. The fresh capital will also be used to hire at least 60 additional employees in Minneapolis, and adding staff to its growing Denver and Austin teams. "/>
    <s v="OF"/>
    <m/>
    <n v="60"/>
    <x v="0"/>
    <n v="13000"/>
    <x v="66"/>
    <x v="4"/>
    <s v="https://www.startribune.com/photo-service-firm-soona-s-expansion-includes-adding-60-workers-in-minneapolis/600062917/"/>
    <s v="Star Tribune"/>
    <s v="320 E Hennepin Ave"/>
    <n v="55414"/>
    <n v="44.988236999999998"/>
    <n v="-93.256198999999995"/>
    <s v="Venture Capital"/>
    <m/>
    <m/>
    <m/>
    <m/>
    <m/>
    <m/>
    <m/>
    <s v="Metro"/>
    <x v="3"/>
  </r>
  <r>
    <x v="13"/>
    <d v="2021-06-01T00:00:00"/>
    <x v="550"/>
    <s v="Minneapolis"/>
    <s v="Hennepin"/>
    <s v="MN"/>
    <s v="AI company Equals 3 Inc.,dba Lucy, has closed on a $3 million round of venture capital. Lucy is also the name of an AI platform that uses IBM Watson to help Fortune 500 companies manage their data._x000a_The Minneapolis-based firm has 28 employees now, which is expected to double by the end of 2021 with the funding. It will especially look to grow its marketing and sales teams as it aims for 500% growth over the next 18 to 24 months."/>
    <m/>
    <m/>
    <n v="28"/>
    <x v="0"/>
    <m/>
    <x v="3"/>
    <x v="4"/>
    <s v="https://www.bizjournals.com/twincities/news/2021/06/01/ai-firm-lucy-raises-3-million-dallas-venture-cap.html"/>
    <s v="MSP Business Journal"/>
    <s v="6465 Wayzata Blvd #220"/>
    <n v="55426"/>
    <n v="44.969523000000002"/>
    <n v="-93.361908999999997"/>
    <s v="Venture Capital"/>
    <m/>
    <m/>
    <m/>
    <m/>
    <m/>
    <m/>
    <m/>
    <s v="Metro"/>
    <x v="3"/>
  </r>
  <r>
    <x v="13"/>
    <d v="2021-06-07T00:00:00"/>
    <x v="551"/>
    <s v="Lakeville"/>
    <s v="Dakota"/>
    <s v="MN"/>
    <s v="Launch Park Third Addition was approved during the June 7 City Council meeting. This development project proposes to construct a 43,300-square-foot office and transload facility to be owned and occupied by Old Dominion Freight Line. The site is located near Cedar Avenue and 222nd Street West._x000a_Update: Opened in June 2022"/>
    <s v="OF, WH"/>
    <m/>
    <m/>
    <x v="0"/>
    <n v="43300"/>
    <x v="0"/>
    <x v="3"/>
    <s v="https://www.lakevillemn.gov/ArchiveCenter/ViewFile/Item/1096"/>
    <s v="City of Lakeville"/>
    <s v=" 7380 222nd Street West"/>
    <n v="55044"/>
    <n v="44.633420999999998"/>
    <n v="-93.258120000000005"/>
    <m/>
    <m/>
    <m/>
    <m/>
    <m/>
    <m/>
    <m/>
    <m/>
    <s v="Metro"/>
    <x v="3"/>
  </r>
  <r>
    <x v="13"/>
    <d v="2021-06-08T00:00:00"/>
    <x v="552"/>
    <s v="Shoreview"/>
    <s v="Ramsey"/>
    <s v="MN"/>
    <s v="Financial services software company Nextek recently expanded its footprint in the Twin Cities with the opening of its new corporate headquarters at a former medical office building in Shoreview._x000a__x000a_Nextek, part of the Arden Hills-based Gradient Financial Group, moved into the 20,000-square-square foot building that was renovated before the move. Mayor Sandy Martin said the company has “a growth plan that estimates as many as 100 employees in the future."/>
    <s v="HQ, OF"/>
    <m/>
    <m/>
    <x v="0"/>
    <n v="15000"/>
    <x v="25"/>
    <x v="9"/>
    <s v="https://finance-commerce.com/2021/06/nextek-opens-new-hq-space-in-shoreview/"/>
    <s v="Finance &amp; Commerce"/>
    <s v="4625 Churchill Street"/>
    <n v="55126"/>
    <n v="45.080342000000002"/>
    <n v="-93.143441999999993"/>
    <m/>
    <m/>
    <m/>
    <m/>
    <m/>
    <m/>
    <m/>
    <m/>
    <s v="Metro"/>
    <x v="3"/>
  </r>
  <r>
    <x v="13"/>
    <d v="2021-06-15T00:00:00"/>
    <x v="553"/>
    <s v="Eden Prairie"/>
    <s v="Hennepin"/>
    <s v="MN"/>
    <s v="Collagen Solutions develops, manufactures and supplies medical-grade collagen biomaterials.  They plan to lease a building at 6455 City West Parkway in Eden Prairie; invest $15,9 million in building renovations and euqipment; and expand its operations and create 20-25 new high-value manufacturing, technical, and professional jobs over the next three years. This would be the first investment in US-based manufacturing operations by Collagen Solutions and its UK-based parent._x000a_DEED JCF Award 11/19/2021: $175,000"/>
    <s v="MF"/>
    <n v="15944538.810000001"/>
    <n v="20"/>
    <x v="0"/>
    <m/>
    <x v="28"/>
    <x v="1"/>
    <s v="https://www.edenprairie.org/city-government/city-council/city-council-meetings"/>
    <m/>
    <s v=" 6575 City W Pkwy,"/>
    <n v="55344"/>
    <n v="44.850563000000001"/>
    <n v="-93.440428999999995"/>
    <s v="Government"/>
    <s v="JCF"/>
    <n v="175000"/>
    <m/>
    <s v="Rosen's Diversified"/>
    <s v="Glasgow"/>
    <m/>
    <s v="U.K."/>
    <s v="Metro"/>
    <x v="3"/>
  </r>
  <r>
    <x v="13"/>
    <d v="2021-06-21T00:00:00"/>
    <x v="554"/>
    <s v="Rice"/>
    <s v="Benton"/>
    <s v="MN"/>
    <s v="The Benton Economic Partnership, alongside the City of Rice and Benton County, announced June 16 that Performance Food Group will expand its Northland Cheese operation, which includes a more than $12 million capital investment in a facility expansion (expected to begin this summer) and new equipment. The change will create at least 22 jobs, according to a release from Benton Economic Partnership, Inc_x000a_DEED Awards: JCF $175K, MIF $300K"/>
    <s v="MF"/>
    <n v="12000000"/>
    <n v="22"/>
    <x v="0"/>
    <m/>
    <x v="1"/>
    <x v="1"/>
    <s v="https://www.sctimes.com/story/money/business/2021/06/21/northland-cheese-rice-plans-expansion-facility-and-add-jobs/7771785002/"/>
    <s v="St. Cloud Times"/>
    <s v="625 Division St. North"/>
    <n v="56367"/>
    <n v="45.763693000000004"/>
    <n v="-94.227548999999996"/>
    <s v="Government"/>
    <s v="JCF $175K, MIF $300K"/>
    <n v="475000"/>
    <m/>
    <m/>
    <m/>
    <m/>
    <m/>
    <s v="Central"/>
    <x v="3"/>
  </r>
  <r>
    <x v="13"/>
    <d v="2021-06-22T00:00:00"/>
    <x v="555"/>
    <s v="Saint Paul"/>
    <s v="Ramsey"/>
    <s v="MN"/>
    <s v="ABV Technology makes equipment to produce nonalcoholic beer and hard seltzer._x000a_The company moved into about 10,000 square feet of office and manufacturing space in St. Paul, nearly four times bigger than its previous location, on a seven-year lease. They consolidated operations for research and development, its service center and machine assembly and manufacturing at the new space. 14 employees. "/>
    <s v="MF, OF"/>
    <m/>
    <m/>
    <x v="0"/>
    <n v="7500"/>
    <x v="4"/>
    <x v="1"/>
    <s v="https://www.startribune.com/expanding-st-paul-companys-machines-remove-alcohol-from-beer-then-make-hard-seltzer/600070603/"/>
    <s v="Star Tribune"/>
    <s v="1435 Energy Park Dr"/>
    <n v="55108"/>
    <n v="44.972453999999999"/>
    <n v="-93.161277999999996"/>
    <m/>
    <m/>
    <m/>
    <m/>
    <m/>
    <m/>
    <m/>
    <m/>
    <s v="Metro"/>
    <x v="3"/>
  </r>
  <r>
    <x v="13"/>
    <d v="2021-06-23T00:00:00"/>
    <x v="556"/>
    <s v="International Falls"/>
    <s v="Koochiching"/>
    <s v="MN"/>
    <s v="The City of International Falls was awarded $122,084 to assist with relocating a sanitary sewer main to allow Greentech Manufacturing to expand. The company is investing $750,000 into a 10,000 square foot expansion that will allow them to grow from 60 to 70 full time employees. Total cost of the sewer relocation project is $ 267,769._x000a__x000a_Greentech Manufacturing manufactures outdoor furnaces known as Crown Royal Stoves, along with a full line of hydronic unit heaters and air handlers."/>
    <m/>
    <n v="750000"/>
    <n v="70"/>
    <x v="0"/>
    <n v="10000"/>
    <x v="4"/>
    <x v="1"/>
    <s v="https://www.rainylakegazette.com/2021/12/15/make-way-for-expansion-city-to-assist-greentech/"/>
    <s v="Rainy Lake Gazette"/>
    <s v="2716 Crescent Dr"/>
    <n v="56649"/>
    <n v="48.57414"/>
    <n v="-93.40746"/>
    <s v="Government"/>
    <s v="BDPI"/>
    <n v="122084"/>
    <m/>
    <m/>
    <m/>
    <m/>
    <m/>
    <s v="North"/>
    <x v="3"/>
  </r>
  <r>
    <x v="13"/>
    <d v="2021-06-24T00:00:00"/>
    <x v="557"/>
    <s v="Eden Prairie"/>
    <s v="Hennepin"/>
    <s v="MN"/>
    <s v="Miromatrix Medical uses biotechnologies to remove all cells from discarded pig organs and implant human cells into the emptied organ to create fully transplantable livers and kidneys. Miromatrix anticipates raising $43.2 million. The proceeds will largely fund R&amp;D work through 2023, including  launching a clinical trial. About $3 million to $4 million cover building a new facility._x000a_Update: In March 2022, Miromatrix opened its new 42,000-sqft office, complete with a 11,000-sqft in-house manufacturing facility. "/>
    <s v="HQ, MF, RD"/>
    <n v="4000000"/>
    <m/>
    <x v="0"/>
    <n v="42000"/>
    <x v="11"/>
    <x v="1"/>
    <s v="https://www.fiercebiotech.com/medtech/miromatrix-goes-hog-wild-upsized-43m-ipo-to-bioengineer-pig-organs-into-human-transplants"/>
    <s v="Fierce Biotech"/>
    <s v="6455 Flying Cloud Dr"/>
    <n v="55344"/>
    <n v="44.884805999999998"/>
    <n v="-93.403298000000007"/>
    <m/>
    <m/>
    <m/>
    <m/>
    <m/>
    <m/>
    <m/>
    <m/>
    <s v="Metro"/>
    <x v="3"/>
  </r>
  <r>
    <x v="13"/>
    <d v="2021-06-29T00:00:00"/>
    <x v="558"/>
    <s v="Hastings"/>
    <s v="Dakota"/>
    <s v="MN"/>
    <s v="Construction is scheduled to start next month on Quality One Woodwork LLC’s expansion to its existing facility. Quality One will construct a 52,000-square-foot addition to its building on the new site. With the expansion, the company will add 35 full-time employees to its team."/>
    <s v="MF"/>
    <m/>
    <n v="35"/>
    <x v="0"/>
    <n v="52000"/>
    <x v="24"/>
    <x v="1"/>
    <s v="https://finance-commerce.com/2021/06/hastings-business-park-lands-3-developments/"/>
    <s v="Finance &amp; Commerce"/>
    <s v="3005 Millard Ave. "/>
    <n v="55033"/>
    <n v="44.717965"/>
    <n v="-92.835835000000003"/>
    <s v="Government"/>
    <s v="EDA (Industrial Land Credit Program)"/>
    <m/>
    <m/>
    <m/>
    <m/>
    <m/>
    <m/>
    <s v="Metro"/>
    <x v="3"/>
  </r>
  <r>
    <x v="13"/>
    <d v="2021-06-29T00:00:00"/>
    <x v="559"/>
    <s v="St. Louis Park"/>
    <s v="Hennepin"/>
    <s v="MN"/>
    <s v="Radisson Hotel Group Americas will move its headquarters next year from Minnetonka into the newly completed 10 West End building in St. Louis Park, officials announced this week._x000a__x000a_The long-term lease will give the expanding hotel operator 36,000 square feet of space in the new speculative 11-story building that Ryan Cos. and Excelsior Group began constructing in late 2019 and finished in January 2021."/>
    <s v="HQ, OF"/>
    <m/>
    <m/>
    <x v="0"/>
    <n v="36000"/>
    <x v="14"/>
    <x v="7"/>
    <s v="https://www.startribune.com/radisson-hotel-americas-moves-hq-to-st-louis-parks-new-10-west-end-building/600073148/"/>
    <s v="Star Tribune"/>
    <s v="1601 Utica Ave S"/>
    <n v="55416"/>
    <n v="44.967460000000003"/>
    <n v="-93.344623999999996"/>
    <m/>
    <m/>
    <m/>
    <m/>
    <m/>
    <m/>
    <m/>
    <m/>
    <s v="Metro"/>
    <x v="3"/>
  </r>
  <r>
    <x v="13"/>
    <d v="2021-06-29T00:00:00"/>
    <x v="182"/>
    <s v="Brooklyn Park"/>
    <s v="Hennepin"/>
    <s v="MN"/>
    <s v="Switchback Medical makes custom products primarily for the medical device industry. The company plans to invest $10 million to move and expand its HQ and manufacturing facilities into a 120,000-square-foot  building at 7625 Boone Ave. N. in Brooklyn Park with the help of state funds._x000a_Switchback Medical employs 70 people in Maple Grove and expects to create 90 new jobs with the move.  Switchback Medical had also considered relocating to Wisconsin._x000a_DEED awards 7/30/21: JCF $175K, MIF $400K"/>
    <s v="HQ, MF"/>
    <n v="10775000"/>
    <n v="92"/>
    <x v="0"/>
    <n v="120000"/>
    <x v="11"/>
    <x v="1"/>
    <s v="https://ccxmedia.org/news/medical-device-manufacturer-seeks-400k-in-state-funds-for-brooklyn-park-move/"/>
    <s v="DEED"/>
    <s v="7625 Boone Ave. N"/>
    <n v="55428"/>
    <n v="45.092770999999999"/>
    <n v="-93.393868999999995"/>
    <s v="Government"/>
    <s v="JCF $175K, MIF $400K"/>
    <n v="575000"/>
    <m/>
    <m/>
    <m/>
    <m/>
    <m/>
    <s v="Metro"/>
    <x v="3"/>
  </r>
  <r>
    <x v="13"/>
    <d v="2021-06-30T00:00:00"/>
    <x v="560"/>
    <s v="Saint Paul"/>
    <s v="Ramsey"/>
    <s v="MN"/>
    <s v="St. Paul app maker BetterYou raises $2.25 million_x000a_The company created an app that encourages users to build healthy habits. The new funding will enable BetterYou to invest in product enhancements, double employment to about 25 and hit annualized revenue of $3 million within a couple years. BetterYou is a software app designed to help people quit squandering unproductive time on technology, such as mindless scrolling around social media or e-mail."/>
    <m/>
    <m/>
    <n v="12"/>
    <x v="0"/>
    <m/>
    <x v="3"/>
    <x v="4"/>
    <s v="https://www.startribune.com/st-paul-app-maker-betteryou-raises-2-25-million/600073549/"/>
    <s v="Star Tribune"/>
    <s v="370 Wabasha Ave N"/>
    <n v="55102"/>
    <n v="44.946106"/>
    <n v="-93.094076999999999"/>
    <s v="Venture Capital"/>
    <m/>
    <m/>
    <m/>
    <m/>
    <m/>
    <m/>
    <m/>
    <s v="Metro"/>
    <x v="3"/>
  </r>
  <r>
    <x v="14"/>
    <d v="2021-07-01T00:00:00"/>
    <x v="561"/>
    <s v="Blaine"/>
    <s v="Hennepin"/>
    <s v="MN"/>
    <s v="Adhue Graphic Resources purchased a vacant 45,600-square-foot building in Blaine for $3.15 million. Adhue will move July 12 to its new site from nearly 24,000 square feet of leased space elsewhere in Blaine. Founded in 1993, Adhue is a leading supplier of printable plastics and pressure-sensitive products for screen printing, packaging and manufacturing companies."/>
    <s v="MF"/>
    <n v="3150000"/>
    <m/>
    <x v="0"/>
    <n v="45600"/>
    <x v="57"/>
    <x v="1"/>
    <s v="https://finance-commerce.com/2021/07/just-sold-two-growing-companies-find-space/"/>
    <m/>
    <s v="10355 Naples St. NE"/>
    <n v="55449"/>
    <n v="45.158138999999998"/>
    <n v="-93.183931000000001"/>
    <m/>
    <m/>
    <m/>
    <m/>
    <m/>
    <m/>
    <m/>
    <m/>
    <s v="Metro"/>
    <x v="3"/>
  </r>
  <r>
    <x v="14"/>
    <d v="2021-07-02T00:00:00"/>
    <x v="562"/>
    <s v="Edina"/>
    <s v="Hennepin"/>
    <s v="MN"/>
    <s v="Parallax closed on a Series A round of funding this week, which brings the company's value to $33 million. Parallax, has about 30 employees rand close to 50 users of its platform in North America and Europe. Parallax primarily serves software consulting and digital agencies.  Parallax is ahead of a plan to triple its 2020 sales revenue._x000a_The funding will be used to hire software engineers and data scientists."/>
    <m/>
    <m/>
    <m/>
    <x v="0"/>
    <m/>
    <x v="25"/>
    <x v="9"/>
    <s v="https://www.startribune.com/edina-tech-firm-which-helps-other-firms-predict-business-closes-on-funding-round/600074349/?refresh=true"/>
    <m/>
    <s v="4600 W 77th St Ste 390"/>
    <n v="55435"/>
    <n v="44.863930000000003"/>
    <n v="-93.340879999999999"/>
    <m/>
    <m/>
    <m/>
    <m/>
    <m/>
    <m/>
    <m/>
    <m/>
    <s v="Metro"/>
    <x v="3"/>
  </r>
  <r>
    <x v="14"/>
    <d v="2021-07-05T00:00:00"/>
    <x v="563"/>
    <s v="Owatonna"/>
    <s v="Steele"/>
    <s v="MN"/>
    <s v="In June, Bushel Boy Farms rolled out a new product to sell alongside its popular tomatoes. Thanks to an 80,000-square-foot expansion to their greenhouse space used for R&amp;D, Bushel Boy is now also growing strawberries."/>
    <s v="RD"/>
    <m/>
    <m/>
    <x v="0"/>
    <n v="80000"/>
    <x v="61"/>
    <x v="14"/>
    <s v="https://www.southernminn.com/owatonna_peoples_press/news/article_a3800b3e-4b8f-5b30-a8e9-cf410f2f731a.html"/>
    <m/>
    <s v="215 NW 32nd Ave"/>
    <n v="55060"/>
    <n v="44.081341999999999"/>
    <n v="-93.266234999999995"/>
    <m/>
    <m/>
    <m/>
    <m/>
    <m/>
    <m/>
    <m/>
    <m/>
    <s v="South"/>
    <x v="3"/>
  </r>
  <r>
    <x v="14"/>
    <d v="2021-07-08T00:00:00"/>
    <x v="564"/>
    <s v="Hoyt Lakes"/>
    <s v="St Louis"/>
    <s v="MN"/>
    <s v="FLOE International, headquartered in McGregor, Minn., will be relocating to  5540 Colby Lake Road, Hoyt Lakes over the next 3-6 months from its former facility in Hoyt Lakes where it has been since 1994.. _x000a_FLOE manufacturers and distributes world-class dock and boat lift systems, utility and recreational trailers. The new facility is more modern facility, and with room for growth at 27,700 square feet. Currently FLOE has 21 employees, and plans to continue growing as an employer. "/>
    <s v="HQ, MF"/>
    <m/>
    <m/>
    <x v="0"/>
    <n v="7200"/>
    <x v="22"/>
    <x v="1"/>
    <s v="http://www.businessnorth.com/around_the_region/floe-international-expands-its-hoyt-lakes-facility-in-a-new-location/article_3254c5ba-e00d-11eb-a2ca-7340e207e93a.html"/>
    <m/>
    <s v=" 5540 Colby Lake Road, "/>
    <n v="55750"/>
    <n v="47.522328000000002"/>
    <n v="-92.173924999999997"/>
    <m/>
    <m/>
    <m/>
    <m/>
    <m/>
    <m/>
    <m/>
    <m/>
    <s v="North"/>
    <x v="3"/>
  </r>
  <r>
    <x v="14"/>
    <d v="2021-07-12T00:00:00"/>
    <x v="26"/>
    <s v="Cottage Grove"/>
    <s v="Ramsey"/>
    <s v="MN"/>
    <s v="Burgeoning demand for corrugated paper products is driving North Star Sheet's expansion. North Star Sheets makes corrugated sheets used for making boxes for packaging. It plans to add 35,600 SF of space to its 168,000 SF manufacturing facility in Cottage Grove._x000a__x000a_North Star also will add 4.5 acres of land to its industrial park footprint and use the space for another rail spur. The majority of paper rolls used in the production process gain entry to company site by way of the rail spur. North Star employs 85 people."/>
    <s v="MF"/>
    <m/>
    <m/>
    <x v="0"/>
    <n v="35600"/>
    <x v="67"/>
    <x v="1"/>
    <s v="https://finance-commerce.com/2021/07/paper-products-manufacturer-to-expand-in-cottage-grove/"/>
    <m/>
    <s v="7550 91st St. S"/>
    <n v="55016"/>
    <n v="44.819305"/>
    <n v="-92.953259000000003"/>
    <m/>
    <m/>
    <m/>
    <m/>
    <m/>
    <m/>
    <m/>
    <m/>
    <s v="Metro"/>
    <x v="3"/>
  </r>
  <r>
    <x v="14"/>
    <d v="2021-07-13T00:00:00"/>
    <x v="36"/>
    <s v="Lakeville"/>
    <s v="Dakota"/>
    <s v="MN"/>
    <s v="Uponor North America will invest in a $5 million expansion is also planned for the company's Lakeville distribution center. Construction to add 57,000 square feet to the Lakeville Distribution Center will begin in August and is scheduled for completion in June 2022. Uponor will also invest in a $5 million expansion of its Hutchinson facility. These will be the company’s 12th and 13th expansions in North America since 1990. "/>
    <s v="WH"/>
    <n v="5000000"/>
    <m/>
    <x v="0"/>
    <n v="57000"/>
    <x v="57"/>
    <x v="1"/>
    <s v="https://uponor.greenhousedigitalpr.com/lakeville-and-hutchinson-expansion/"/>
    <s v="Company website"/>
    <s v="21900 Dodd Blvd"/>
    <n v="55044"/>
    <n v="44.632413"/>
    <n v="-93.256889999999999"/>
    <m/>
    <m/>
    <m/>
    <s v="x"/>
    <s v="Uponor"/>
    <m/>
    <m/>
    <s v="Finland"/>
    <s v="Metro"/>
    <x v="3"/>
  </r>
  <r>
    <x v="14"/>
    <d v="2021-07-13T00:00:00"/>
    <x v="36"/>
    <s v="Hutchinson"/>
    <s v="McLeod"/>
    <s v="MN"/>
    <s v="Uponor will invest in a $5 million expansion of its Hutchinson facility. This expansion will create an additional 25,000 square feet of manufacturing space and is expected to be complete in May 2022. Another $5 million expansion is also planned for the company's Lakeville distribution center. These will be the company’s 12th and 13th expansions in North America since 1990. "/>
    <s v="MF"/>
    <n v="5000000"/>
    <m/>
    <x v="0"/>
    <n v="25000"/>
    <x v="57"/>
    <x v="1"/>
    <s v="https://uponor.greenhousedigitalpr.com/lakeville-and-hutchinson-expansion/"/>
    <s v="Company website"/>
    <s v="500 Technology Dr NE"/>
    <n v="55350"/>
    <n v="44.901072999999997"/>
    <n v="-94.357286000000002"/>
    <m/>
    <m/>
    <m/>
    <s v="x"/>
    <s v="Uponor"/>
    <m/>
    <m/>
    <s v="Finland"/>
    <s v="Central"/>
    <x v="3"/>
  </r>
  <r>
    <x v="14"/>
    <d v="2021-07-16T00:00:00"/>
    <x v="565"/>
    <s v="St. Cloud"/>
    <s v="Sherburne"/>
    <s v="MN"/>
    <s v="Grocer Coborn's has a new primary wholesaler -- Kansas City-based Associated Wholesale Grocers -- who's entering the Minnesota marketwith big expansion plans. AWG is moving into a 316,000-square-foot space in St. Cloud, which will become AWG's new Upper Midwest Division HQ. Project will create 114 jobs paying on average $23.44, and will invest $75 million. Shipments from there will begin in early 2022. Additional facilities in Minnesota are planned in locations TBD._x000a_DEED: JCF Award $175K. "/>
    <s v="HQ, WH"/>
    <m/>
    <m/>
    <x v="0"/>
    <n v="316000"/>
    <x v="56"/>
    <x v="10"/>
    <s v="https://www.bizjournals.com/twincities/news/2021/07/16/coborns-associated-wholesale-grocers-st-cloud.html"/>
    <m/>
    <s v="6401 8th Ave S"/>
    <n v="56301"/>
    <n v="45.468361000000002"/>
    <n v="-94.130050999999995"/>
    <s v="Government"/>
    <m/>
    <m/>
    <m/>
    <m/>
    <m/>
    <m/>
    <m/>
    <s v="Central"/>
    <x v="3"/>
  </r>
  <r>
    <x v="14"/>
    <d v="2021-07-16T00:00:00"/>
    <x v="116"/>
    <s v="Bloomington"/>
    <s v="Hennepin"/>
    <s v="MN"/>
    <s v="Lower Level Training Center Donaldson (Bloomington Construction Permit)"/>
    <s v="Other"/>
    <n v="1600000"/>
    <m/>
    <x v="0"/>
    <m/>
    <x v="4"/>
    <x v="1"/>
    <s v="https://www.bloomingtonmn.gov/bldg/permit-status-inspection-results-and-monthly-building-reports"/>
    <m/>
    <s v="1400 W 94TH ST"/>
    <n v="55431"/>
    <n v="44.835017999999998"/>
    <n v="-93.298772"/>
    <m/>
    <m/>
    <m/>
    <m/>
    <m/>
    <m/>
    <m/>
    <m/>
    <s v="Metro"/>
    <x v="3"/>
  </r>
  <r>
    <x v="14"/>
    <d v="2021-07-20T00:00:00"/>
    <x v="566"/>
    <s v="Minneapolis"/>
    <s v="Hennepin"/>
    <s v="MN"/>
    <s v="Huntington Bank is also growing our Business Banking and Middle Market teams which will lead to anywhere between 50 to 75 additional positions in the Twin Cities market. Minnesota will continue to be an important market for Huntington and be a focus for further growth and expansion. Huntington now has approximately 1,200 staffers in the Twin Cities."/>
    <m/>
    <m/>
    <n v="75"/>
    <x v="0"/>
    <m/>
    <x v="50"/>
    <x v="6"/>
    <s v="https://tcbmag.com/huntington-bancshares-has-15-fewer-tcf-employees-than-before-merger/"/>
    <m/>
    <m/>
    <n v="55402"/>
    <n v="44.975915000000001"/>
    <n v="-93.271825000000007"/>
    <m/>
    <m/>
    <m/>
    <m/>
    <m/>
    <m/>
    <m/>
    <m/>
    <s v="Metro"/>
    <x v="3"/>
  </r>
  <r>
    <x v="14"/>
    <d v="2021-07-27T00:00:00"/>
    <x v="567"/>
    <s v="Minneapolis, Maple Grove"/>
    <s v="Hennepin"/>
    <s v="MN"/>
    <s v="With increased demand for online deliveries, FedEx Ground is looking to add new positions in Minnesota in the coming months. _x000a_FedEx officials say the biggest hiring needs are for package handlers._x000a_FedEx Ground plans to hire &quot;more than 950 team members&quot; at its facilities in Minneapolis and Maple Grove. Positions are part-time and full-time."/>
    <m/>
    <m/>
    <n v="950"/>
    <x v="0"/>
    <m/>
    <x v="0"/>
    <x v="3"/>
    <s v="https://www.kare11.com/amp/article/news/local/fedex-ground-plans-to-hire-nearly-1000-in-minneapolis-maple-grove/89-09f65ade-1b32-4298-a58e-1c427f1444b5"/>
    <m/>
    <m/>
    <n v="55402"/>
    <n v="44.975915000000001"/>
    <n v="-93.271825000000007"/>
    <m/>
    <m/>
    <m/>
    <m/>
    <m/>
    <m/>
    <m/>
    <m/>
    <s v="Metro"/>
    <x v="3"/>
  </r>
  <r>
    <x v="14"/>
    <d v="2021-07-27T00:00:00"/>
    <x v="568"/>
    <s v="Plymouth"/>
    <s v="Hennepin"/>
    <s v="MN"/>
    <s v="Merchology, the online retailer of company-branded merchandise, just acquired a 90,000-square-foot building in Plymouth for its new headquarters and opened its third production facility _x000a_They now employ about 200 employees, including 60 new ones added over the past 2 months. The company will relocate to the new HQ next spring, after renovations are completed. Merchology headquarters are currently located in Minnetonka."/>
    <s v="HQ"/>
    <m/>
    <n v="60"/>
    <x v="0"/>
    <n v="90000"/>
    <x v="0"/>
    <x v="8"/>
    <s v="https://www.bizjournals.com/twincities/news/2021/07/27/merchology-new-headquarters-production-facility.html?utm_source=st&amp;utm_medium=en&amp;utm_campaign=me&amp;utm_content=mn&amp;ana=e_mn_me&amp;j=24577498&amp;senddate=2021-07-28"/>
    <m/>
    <s v=" 2950 Niagara Lane"/>
    <n v="55447"/>
    <n v="45.013899000000002"/>
    <n v="-93.470203999999995"/>
    <m/>
    <m/>
    <m/>
    <m/>
    <m/>
    <m/>
    <m/>
    <m/>
    <s v="Metro"/>
    <x v="3"/>
  </r>
  <r>
    <x v="14"/>
    <d v="2021-07-28T00:00:00"/>
    <x v="569"/>
    <s v="Richfield"/>
    <s v="Hennepin"/>
    <s v="MN"/>
    <s v="Ed Bastian, CEO of Atlanta-based Delta said that Delta would add 5,000 workers companywide, including more than 3,000 in airport customer-service roles. "/>
    <m/>
    <m/>
    <m/>
    <x v="0"/>
    <m/>
    <x v="0"/>
    <x v="3"/>
    <s v="https://www.bizjournals.com/twincities/news/2021/07/28/delta-basic-economy-fee-change-travel.html"/>
    <m/>
    <m/>
    <n v="55423"/>
    <n v="44.883298000000003"/>
    <n v="-93.283001999999996"/>
    <m/>
    <m/>
    <m/>
    <m/>
    <m/>
    <m/>
    <m/>
    <m/>
    <s v="Metro"/>
    <x v="3"/>
  </r>
  <r>
    <x v="14"/>
    <d v="2021-07-29T00:00:00"/>
    <x v="570"/>
    <s v="Minneapolis"/>
    <s v="Hennepin"/>
    <s v="MN"/>
    <s v="Niron Magnetics is planning to use $21.3 million in fresh capital from investors to build a magnet-producing factory in the state. The heightened demand for electric vehicles has increased global dependency on rare earth materials required for magnets that go into electric drivetrains and motors. Niron is leveraging iron and nitrogen to deliver better performance and lower costs, while eliminating the need for rare earth content in magnets. The new plant will be 20,000 SF, located within the Twin Cities, and completed in early 2022."/>
    <s v="MF"/>
    <m/>
    <m/>
    <x v="0"/>
    <n v="70000"/>
    <x v="9"/>
    <x v="4"/>
    <s v="https://www.startribune.com/university-of-minnesota-spinout-niron-magnetics-raises-21-3m-to-build-new-facility/600082736/"/>
    <s v="Star Tribune"/>
    <s v="650 Taft St NE UNIT 400"/>
    <n v="55413"/>
    <n v="44.997231999999997"/>
    <n v="-93.225153000000006"/>
    <s v="Venture Capital"/>
    <m/>
    <m/>
    <m/>
    <m/>
    <m/>
    <m/>
    <m/>
    <s v="Metro"/>
    <x v="3"/>
  </r>
  <r>
    <x v="14"/>
    <d v="2021-07-30T00:00:00"/>
    <x v="571"/>
    <s v="Plymouth"/>
    <s v="Hennepin"/>
    <s v="MN"/>
    <s v="North Carolina-based Qorvo is expanding its biotechnology R&amp;D and sales operation in Plymouth. Qorvo plans to increase its footprint by 13,500 square feet at a cost of $1.9 million and to create 54 new jobs._x000a_The National Institutes of Health (NIH) awarded Qorvo Biotechnologies a $24.4 million contract to help advance the production and market launch of the Qorvo Omnia™ Covid-19 rapid antigen diagnostic test platform that uses high frequency Bulk Acoustic Wave sensors. _x000a_JCF Award $175K. "/>
    <s v="RD"/>
    <n v="1915388.5"/>
    <n v="54"/>
    <x v="0"/>
    <n v="13500"/>
    <x v="0"/>
    <x v="4"/>
    <s v="https://www.qorvo.com/newsroom/news/2021/qorvo-biotechnologies-awarded-24-million-national-institutes-health-scale-covid-19-antigen-testing"/>
    <s v="DEED"/>
    <s v="14505 21st Ave. N"/>
    <n v="55447"/>
    <n v="45.000858999999998"/>
    <n v="-93.465691000000007"/>
    <s v="Government"/>
    <s v="JCF"/>
    <n v="175000"/>
    <m/>
    <m/>
    <m/>
    <m/>
    <m/>
    <s v="Metro"/>
    <x v="3"/>
  </r>
  <r>
    <x v="14"/>
    <d v="2021-07-30T00:00:00"/>
    <x v="572"/>
    <s v="Minneapolis"/>
    <s v="Hennepin"/>
    <s v="MN"/>
    <s v="Munich-based Weframe, which has its U.S. headquarters in Minneapolis, has developed a next-generation meeting room technology &quot;Sessionboard&quot; that is a cloud-based touchscreen-based product that works across virtual and in-person meetings.  Weframe doesn't sell its hardware. Instead, it installs the Sessionboard for free and collects revenue on a pay-per-use basis. Weframe currently has three employees in Minneapolis, but plans on growing the team tenfold in the coming year."/>
    <m/>
    <m/>
    <n v="27"/>
    <x v="0"/>
    <m/>
    <x v="25"/>
    <x v="9"/>
    <s v="https://www.bizjournals.com/twincities/news/2021/07/30/weframe-session-board-hybrid-workers.html"/>
    <m/>
    <s v=" 801 S. Marquette Ave, Suite 200."/>
    <n v="55402"/>
    <n v="44.974808000000003"/>
    <n v="-93.271446999999995"/>
    <m/>
    <m/>
    <m/>
    <s v="x"/>
    <s v="Weframe"/>
    <s v="Munich"/>
    <m/>
    <s v="Germany"/>
    <s v="Metro"/>
    <x v="3"/>
  </r>
  <r>
    <x v="14"/>
    <d v="2021-08-03T00:00:00"/>
    <x v="573"/>
    <s v="Eden Prairie"/>
    <s v="Hennepin"/>
    <s v="MN"/>
    <s v="About 50 employees work on Phillips &amp; Temro’s electric-vehicle products, which in addition to the battery heaters, include chargers and systems that allow over-the-road truckers to heat and cool their cabins without idling overnight.  Phillips &amp; Temro expects to add 200-500 more employees to its electric business in the next three to five years. _x000a_Phillips &amp; Temro’s core business still supports traditional internal combustion transportation and employs about 350 employees in Eden Prairie."/>
    <m/>
    <m/>
    <n v="500"/>
    <x v="0"/>
    <m/>
    <x v="7"/>
    <x v="1"/>
    <s v="https://www.hometownsource.com/sun_sailor/community/eden_prairie/as-state-promotes-electric-cars-eden-prairie-company-embraces-change/article_9e9cbc38-f47f-11eb-afae-c7f0c1b6c43d.html"/>
    <m/>
    <s v="9700 West 74th St"/>
    <n v="55344"/>
    <n v="44.870151999999997"/>
    <n v="-93.401229999999998"/>
    <m/>
    <m/>
    <m/>
    <m/>
    <m/>
    <m/>
    <m/>
    <m/>
    <s v="Metro"/>
    <x v="3"/>
  </r>
  <r>
    <x v="14"/>
    <d v="2021-08-04T00:00:00"/>
    <x v="574"/>
    <s v="Bloomington"/>
    <s v="Hennepin"/>
    <s v="MN"/>
    <s v="SkyWater Technology, the largest semiconductor maker in Minnesota, has a five-year plan to reach the profitability levels of chip industry leaders. For the next year, profits would be constrained as SkyWater spends $56 million on new production capacity, in part to overcome industry shortages. This will lead to sustained sales growth and higher profit margins in coming years.  SkyWater will also expand its small chip factory in Florida. They aim to double total output over the next 18 to 24 months."/>
    <s v="MF"/>
    <n v="56000000"/>
    <m/>
    <x v="0"/>
    <m/>
    <x v="23"/>
    <x v="1"/>
    <s v="https://www.startribune.com/chipmaker-skywater-spends-to-expand-production-capacity-amid-industry-shortage/600084758/"/>
    <s v="Star Tribune"/>
    <s v="2401 E 86th St"/>
    <n v="55425"/>
    <n v="44.846888"/>
    <n v="-93.236773999999997"/>
    <m/>
    <m/>
    <m/>
    <m/>
    <m/>
    <m/>
    <m/>
    <m/>
    <s v="Metro"/>
    <x v="3"/>
  </r>
  <r>
    <x v="14"/>
    <d v="2021-08-04T00:00:00"/>
    <x v="575"/>
    <s v="Excelsior"/>
    <s v="Hennepin"/>
    <s v="MN"/>
    <s v="Suma Brands was founded in May 2020.  The company said it's hiring e-commerce, brand-management and supply chain talent to expand its operating platform. The company is also planning offices in New York City and Los Angeles. _x000a_The Minneapolis companywants to turn Amazon brands into household names — and just landed a $150M investment."/>
    <m/>
    <m/>
    <m/>
    <x v="0"/>
    <m/>
    <x v="10"/>
    <x v="4"/>
    <s v="https://www.bizjournals.com/twincities/news/2021/08/04/suma-brands-stealth-mode-amazon-fullfillment-biz.html"/>
    <m/>
    <s v="545 2nd Street #435"/>
    <n v="55331"/>
    <n v="44.902538999999997"/>
    <n v="-93.563389000000001"/>
    <m/>
    <m/>
    <m/>
    <m/>
    <m/>
    <m/>
    <m/>
    <m/>
    <s v="Metro"/>
    <x v="3"/>
  </r>
  <r>
    <x v="14"/>
    <d v="2021-08-06T00:00:00"/>
    <x v="576"/>
    <s v="Lakeville"/>
    <s v="Dakota"/>
    <s v="MN"/>
    <s v="A new 158,000-square-foot light industrial building at the southwest corner of County Road 70 and Dodd Boulevard is under construction. The Outdoor GreatRoom Company is anticipated to occupy 95,000 square feet upon building completion. The Outdoor GreatRoom Company received a Job Creation Fund grant of $160K for the project. The company manufactures outdoor furniture, fire pit tables and other outdoor furnishings. _x000a_DEED JCF Award $160,000."/>
    <s v="HQ, MF"/>
    <n v="953505"/>
    <n v="16"/>
    <x v="0"/>
    <n v="95000"/>
    <x v="0"/>
    <x v="1"/>
    <s v="https://www.lakevillemn.gov/ArchiveCenter/ViewFile/Item/1173"/>
    <s v="City of Lakeville, DEED"/>
    <s v="9583 217th Street"/>
    <n v="55306"/>
    <n v="44.637177999999999"/>
    <n v="-93.258302"/>
    <s v="Government"/>
    <s v="JCF"/>
    <n v="160000"/>
    <m/>
    <m/>
    <m/>
    <m/>
    <m/>
    <s v="Metro"/>
    <x v="3"/>
  </r>
  <r>
    <x v="14"/>
    <d v="2021-08-10T00:00:00"/>
    <x v="577"/>
    <s v="Crookston"/>
    <s v="Stearns"/>
    <s v="MN"/>
    <s v="The Crookston City Council agreed to support New Flyer's application for the Minnesota Investment Fund (MIF) program about an expansion at their facility. New Flyer is looking to add 35 new jobs with their expansion. The city would be requesting $280,000 based on the final job growth projections."/>
    <m/>
    <m/>
    <n v="35"/>
    <x v="0"/>
    <m/>
    <x v="22"/>
    <x v="1"/>
    <s v="https://www.crookstontimes.com/story/news/politics/2021/08/10/city-crookston-assist-new-flyer-expansion-grant-application/5552693001/"/>
    <m/>
    <s v="6200 Glenn Carlson Dr"/>
    <n v="56301"/>
    <n v="45.468777000000003"/>
    <n v="-94.122411999999997"/>
    <m/>
    <m/>
    <m/>
    <m/>
    <m/>
    <m/>
    <m/>
    <m/>
    <s v="Central"/>
    <x v="3"/>
  </r>
  <r>
    <x v="14"/>
    <d v="2021-08-13T00:00:00"/>
    <x v="547"/>
    <s v="Fergus Falls"/>
    <s v="Otter Tail"/>
    <s v="MN"/>
    <s v="Due to increased production needs, Vector Windows is in the process of purchasing land for a potential new building in Fergus Falls._x000a_About 60% of products manufactured by Vector, founded in 1995, are custom-sized windows in custom varieties.  Vector uses robotic technology to combine two panes of glass with a space and replace the air between them. The robots each cost $1.5 million price but freed up 8 workers to work elsewhere as the company continues to grow. DEED JCF Award $175,000."/>
    <s v="MF"/>
    <n v="14969125"/>
    <n v="12"/>
    <x v="0"/>
    <m/>
    <x v="27"/>
    <x v="1"/>
    <s v="https://www.facebook.com/VectorWindows/posts/4156483871054823?comment_id=4166164910086719&amp;reply_comment_id=4166506023385941"/>
    <s v="Company Facebook page, DEED"/>
    <s v="1020 International Dr"/>
    <n v="56537"/>
    <n v="46.303581000000001"/>
    <n v="-96.095241999999999"/>
    <s v="Government"/>
    <s v="JCF"/>
    <n v="175000"/>
    <m/>
    <m/>
    <m/>
    <m/>
    <m/>
    <s v="Central"/>
    <x v="3"/>
  </r>
  <r>
    <x v="14"/>
    <d v="2021-08-17T00:00:00"/>
    <x v="578"/>
    <s v="Rochester"/>
    <s v="Olmsted"/>
    <s v="MN"/>
    <s v="Mayo Clinic plans to double the size of its proton-beam therapy facility, a project that is expected to cost $200 million._x000a_Mayo will add 110,000 SF to the Eisenberg Building - which is adjacent to its existing 100,000 SF facility in the Richard O. Jacobson Building. The expansion will add two new treatment rooms (for a total of six), expanding capactiy by 900 patients per year. The expansion will add 117 new jobs.  Completion is expected in 2025._x000a_Update 10/2022: Received $100 million gift from the Fred C. and Katherine B. Andersen Foundation to expand radiation treatment center. "/>
    <s v="HC"/>
    <n v="200000000"/>
    <n v="117"/>
    <x v="0"/>
    <n v="110000"/>
    <x v="40"/>
    <x v="0"/>
    <s v="https://www.bizjournals.com/twincities/news/2021/08/17/mayo-clinic-proton-beam-expansion.html"/>
    <m/>
    <s v="100 2nd St NW"/>
    <n v="55901"/>
    <n v="44.025478999999997"/>
    <n v="-92.464489"/>
    <m/>
    <m/>
    <m/>
    <m/>
    <m/>
    <m/>
    <m/>
    <m/>
    <s v="South"/>
    <x v="3"/>
  </r>
  <r>
    <x v="14"/>
    <d v="2021-08-17T00:00:00"/>
    <x v="579"/>
    <s v="Clara City"/>
    <s v="Chippewa"/>
    <s v="MN"/>
    <s v="Milk Specialties Global (MSG), a manufacturer of nutritional food ingredients, acquired the 96,000-square-foot, gluten-free certified Kay’s Processing facility, located in Clara City, MN. MSG will expand operations this facility to accommodate demand for extruded protein products. Current employees (hovering just below 30) at the facility have received offers to keep their jobs and 55 more jobs will be created in the future to support production expansion. DEED JCF Award $175K, MIF Award $450K."/>
    <s v="MF"/>
    <n v="2385000"/>
    <n v="55"/>
    <x v="0"/>
    <m/>
    <x v="1"/>
    <x v="1"/>
    <s v="https://www.milkspecialties.com/milk-specialties-global-acquires-kays-processing-inc/"/>
    <s v="Company website, DEED"/>
    <s v="100 1ST Ave SE"/>
    <n v="56222"/>
    <n v="44.956738999999999"/>
    <n v="-95.363369000000006"/>
    <s v="Government"/>
    <s v="JCF $175K, MIF $450K"/>
    <n v="625000"/>
    <m/>
    <m/>
    <m/>
    <m/>
    <m/>
    <s v="Central"/>
    <x v="3"/>
  </r>
  <r>
    <x v="14"/>
    <d v="2021-08-18T00:00:00"/>
    <x v="566"/>
    <s v="Minneapolis"/>
    <s v="Hennepin"/>
    <s v="MN"/>
    <s v="Huntington Bancshares Inc. is bringing its wealth management services to the Twin Cities; these services weren't offered by TCF Bank. Huntington Bank is looking to hire roughly two dozen private bankers, trust managers, retirement specialists and other related positions - on top of the 75 people being hiring for Huntington's small-business banking business. It wants to have its hiring done by the end of the first quarter in 2022. "/>
    <m/>
    <m/>
    <n v="25"/>
    <x v="0"/>
    <m/>
    <x v="50"/>
    <x v="6"/>
    <s v="https://www.bizjournals.com/twincities/news/2021/08/18/huntington-tcf-wealth-management.html"/>
    <m/>
    <m/>
    <n v="55402"/>
    <n v="44.975915000000001"/>
    <n v="-93.271825000000007"/>
    <m/>
    <m/>
    <m/>
    <m/>
    <m/>
    <m/>
    <m/>
    <m/>
    <s v="Metro"/>
    <x v="3"/>
  </r>
  <r>
    <x v="14"/>
    <d v="2021-08-19T00:00:00"/>
    <x v="430"/>
    <s v="Minneapolis"/>
    <s v="Hennepin"/>
    <s v="MN"/>
    <s v="Branch is a Minneapolis-based tech firm aimed at helping employers speed up paydays for workers. Branch has raised $48 million from investors and lined up a $500 million credit facility to fund its own growth.  The deals will help Branch further develop its software and step up its own hiring; CEO Atif Siddiqi told the Star Tribune the company plans to double its workforce to 200 people in the next year; half the hires will be in Minnesota."/>
    <m/>
    <m/>
    <n v="50"/>
    <x v="0"/>
    <m/>
    <x v="68"/>
    <x v="4"/>
    <s v="https://www.bizjournals.com/twincities/news/2021/08/19/branch-raises-more-cash-credit.html"/>
    <m/>
    <s v="301 S 4th Ave #960N"/>
    <n v="55415"/>
    <n v="44.977995999999997"/>
    <n v="-93.263401999999999"/>
    <s v="Venture Capital"/>
    <m/>
    <m/>
    <m/>
    <m/>
    <m/>
    <m/>
    <m/>
    <s v="Metro"/>
    <x v="3"/>
  </r>
  <r>
    <x v="14"/>
    <d v="2021-08-19T00:00:00"/>
    <x v="580"/>
    <s v="Minneapolis"/>
    <s v="Hennepin"/>
    <s v="MN"/>
    <s v="Rapid Robotics, a San Francisco Bay area robotics company, will open a new office in Minneapolis by the end of the year. Rapid plans to employ 10 people in Minneapolis (unspecified location). Rapid created the Rapid Machine Operator (RMO) that performs common machine-tending tasks for manufacturers. The use of RMOs can aid in overcoming the “crippling” labor shortages. The robot is available for a $2,100 monthly subscription, a fraction of the cost of conventional robotics."/>
    <s v="OF"/>
    <m/>
    <n v="10"/>
    <x v="0"/>
    <m/>
    <x v="4"/>
    <x v="1"/>
    <s v="https://finance-commerce.com/2021/08/rapid-robotics-to-open-minneapolis-office/"/>
    <m/>
    <m/>
    <n v="55402"/>
    <n v="44.975915000000001"/>
    <n v="-93.271825000000007"/>
    <m/>
    <m/>
    <m/>
    <m/>
    <m/>
    <m/>
    <m/>
    <m/>
    <s v="Metro"/>
    <x v="3"/>
  </r>
  <r>
    <x v="14"/>
    <d v="2021-08-24T00:00:00"/>
    <x v="581"/>
    <s v="Sleepy Eye"/>
    <s v="Brown"/>
    <s v="MN"/>
    <s v="Chasing Our Tails, a maker of pet treats, has acquired a former food processing plant in Sleepy Eye for $2.6 million._x000a_Chasing Our Tails is relocating from New Hampshire to Minnesota. They hope to be operational by October._x000a_ &quot;We're going to bring all of our packaging, warehouse and distribution to Sleepy Eye and this will become the world headquarters. We have a rail spur at this site, hundreds of thousands of square feet of space.&quot; They expect to employ several dozen people when operations are set up later this fall."/>
    <s v="MF"/>
    <n v="2600000"/>
    <m/>
    <x v="0"/>
    <m/>
    <x v="1"/>
    <x v="1"/>
    <s v="https://www.bizjournals.com/twincities/news/2021/08/24/pet-food-business-buys-del-monte-plant.html"/>
    <m/>
    <s v="100 9th Ave SW"/>
    <n v="56085"/>
    <n v="44.295847000000002"/>
    <n v="-94.737669999999994"/>
    <m/>
    <m/>
    <m/>
    <m/>
    <m/>
    <m/>
    <m/>
    <m/>
    <s v="South"/>
    <x v="3"/>
  </r>
  <r>
    <x v="14"/>
    <d v="2021-08-27T08:40:41"/>
    <x v="582"/>
    <s v="Brooklyn Park"/>
    <s v="Hennepin"/>
    <s v="MN"/>
    <s v="Clear Edge Filtration (aka Industrial Fabrics Corp), a global leader in industrial filtration products and filter media, will expand their plant in Brooklyn Park at a cost of $695,000 to accommodate continuing growth and future market developments. With engineering expertise in designing, testing and prototyping, this plant will also facilitate technical support, patent of products, and new product development._x000a_DEED: Will create 47 new jobs. MIF Award $125,000. "/>
    <s v="MF, RD"/>
    <n v="695000"/>
    <n v="47"/>
    <x v="0"/>
    <m/>
    <x v="4"/>
    <x v="1"/>
    <s v="https://www.clear-edge.com/news/clear-edge-filtration-announces-expansion-of-its-minnesota-facility/"/>
    <s v="DEED"/>
    <s v="7160 Northland Cir N Ste B"/>
    <n v="55428"/>
    <n v="45.085796000000002"/>
    <n v="-93.388668999999993"/>
    <s v="Government"/>
    <s v="MIF"/>
    <n v="125000"/>
    <s v="x"/>
    <s v="Clear Edge Filtration Germany GmbH"/>
    <m/>
    <m/>
    <s v="Germany"/>
    <s v="Metro"/>
    <x v="3"/>
  </r>
  <r>
    <x v="14"/>
    <d v="2021-08-29T00:00:00"/>
    <x v="583"/>
    <s v="East Bethel"/>
    <s v="Anoka"/>
    <s v="MN"/>
    <s v="Aggressive Hydraulics, based in East Bethel, is expanding again._x000a_Aggressive has broken ground on a 40,000-square-foot expansion to the East Bethel plant, which has become constrained at its current size of 60,000 square feet. East Bethel is providing a tax-increment loan for site preparation to support the $3 million expansion._x000a_Aggressive designs and manufactures hydraulic cylinders for new and used equipment and trucks. "/>
    <s v="MF"/>
    <n v="3000000"/>
    <m/>
    <x v="0"/>
    <n v="40000"/>
    <x v="4"/>
    <x v="1"/>
    <s v="https://www.startribune.com/st-anthony-aggressive-hydraulics-started-by-laid-off-factory-workers-20-years-ago-is-expanding-again/600092039/?refresh=true"/>
    <m/>
    <s v="18800 Ulysses St NE"/>
    <n v="55005"/>
    <n v="45.396731000000003"/>
    <n v="-93.237375999999998"/>
    <s v="Government"/>
    <s v="TIF"/>
    <m/>
    <m/>
    <m/>
    <m/>
    <m/>
    <m/>
    <s v="Metro"/>
    <x v="3"/>
  </r>
  <r>
    <x v="14"/>
    <d v="2021-09-01T00:00:00"/>
    <x v="584"/>
    <s v="Waseca"/>
    <s v="Waseca"/>
    <s v="MN"/>
    <s v="Conagra is investing in a $250 million 250,000 SF frozen food plant is for its subsidiary Birds Eye. The new state-of-the-art facility replaces an aging smaller plant in Waseca and will focus on freezing and packaging sweet corn and peas grown within 50 miles. Construction began in Fall 2020. The facility should open next June. _x000a_The current plant has 165 employees and 275 seasonal workers. The new facility retains 120 jobs and 200 seasonal jobs. The city of Waseca, Waseca County and the state of Minnesota provided financial assistance. "/>
    <s v="MF"/>
    <n v="250000000"/>
    <s v="Retained 120"/>
    <x v="0"/>
    <n v="250000"/>
    <x v="1"/>
    <x v="1"/>
    <s v="https://www.startribune.com/birds-eye-builds-a-huge-vegetable-processing-plant-in-waseca/600092989/"/>
    <s v="Star Tribune"/>
    <s v="400 4th St SW"/>
    <n v="56093"/>
    <n v="44.075941"/>
    <n v="-93.513893999999993"/>
    <m/>
    <m/>
    <m/>
    <m/>
    <m/>
    <m/>
    <m/>
    <m/>
    <s v="South"/>
    <x v="3"/>
  </r>
  <r>
    <x v="14"/>
    <d v="2021-09-03T00:00:00"/>
    <x v="585"/>
    <s v="Arlington"/>
    <s v="Carver"/>
    <s v="MN"/>
    <s v="Data Metalcraft Inc is a growing company based in Chaska, MN and seeking welders as it invests $11 million into a new facility in Arlington, MN. Their specialty is fabricating utility cabinets and other products made from aluminum and stainless steel._x000a_DEED is supporting the project with $80K to the City of Arlington from DEED's Redevelopment Grant Program;  JCF award of $175K,  MIF award of $350K. The project will create 50 jobs, retain 48 jobs, increase the city's tax base by $107,765."/>
    <s v="MF"/>
    <n v="11177470"/>
    <n v="50"/>
    <x v="13"/>
    <m/>
    <x v="27"/>
    <x v="1"/>
    <s v="https://www.datametal.com/blog/"/>
    <s v="Company website, DEED"/>
    <s v="4280 Norex Dr"/>
    <n v="55318"/>
    <n v="44.849477999999998"/>
    <n v="-93.589107999999996"/>
    <s v="Government"/>
    <s v="JCF $175K, MIF $350K, Redev. Grant ($80.5K)"/>
    <n v="605500"/>
    <m/>
    <m/>
    <m/>
    <m/>
    <m/>
    <s v="Metro"/>
    <x v="3"/>
  </r>
  <r>
    <x v="14"/>
    <d v="2021-09-07T00:00:00"/>
    <x v="586"/>
    <s v="Plymouth"/>
    <s v="Hennepin"/>
    <s v="MN"/>
    <s v="Minnesota Rubber &amp; Plastic broke ground on a new $7 million, 9,000-square-foot innovation center in Plymouth. The innovation center, located next to headquarters, will help customers get products to market faster by having them work directly with the company's scientists and engineers. The company develops and makes custom plastic and rubber molds and components for original manufacturers. Completion is expected in spring 2022."/>
    <s v="RD"/>
    <n v="7000000"/>
    <m/>
    <x v="0"/>
    <n v="9000"/>
    <x v="57"/>
    <x v="1"/>
    <s v="https://www.startribune.com/plymouth-company-breaks-ground-on-7m-new-materials-innovation-center/600094646/"/>
    <s v="Star Tribune"/>
    <s v="1100 Xenium Ln N"/>
    <n v="55441"/>
    <n v="44.990327999999998"/>
    <n v="-93.450460000000007"/>
    <m/>
    <m/>
    <m/>
    <m/>
    <m/>
    <m/>
    <m/>
    <m/>
    <s v="Metro"/>
    <x v="3"/>
  </r>
  <r>
    <x v="14"/>
    <d v="2021-09-08T00:00:00"/>
    <x v="587"/>
    <s v="Minneapolis"/>
    <s v="Hennepin"/>
    <s v="MN"/>
    <s v="ELO Digital Office USA develops software enabling businesses to improve collaboration and digitalize information management, and is a subsidiary of Germany-based ELO Digital Office. ELO has opened an office in Minneapolis, Minnesota, US. It is located at 225 South 6th Street. "/>
    <s v="OF"/>
    <m/>
    <m/>
    <x v="0"/>
    <m/>
    <x v="25"/>
    <x v="9"/>
    <s v="https://www.prweb.com/releases/elo_digital_office_usa_relocates_north_american_headquarters_to_miami/prweb18175741.htm"/>
    <m/>
    <s v="225 South 6th Street Suite 3900."/>
    <n v="55402"/>
    <n v="44.976478"/>
    <n v="-93.268620999999996"/>
    <m/>
    <m/>
    <m/>
    <s v="x"/>
    <s v="ELO Digital"/>
    <m/>
    <m/>
    <s v="Germany"/>
    <s v="Metro"/>
    <x v="3"/>
  </r>
  <r>
    <x v="14"/>
    <d v="2021-09-09T00:00:00"/>
    <x v="60"/>
    <s v="Minneapolis"/>
    <s v="Hennepin"/>
    <s v="MN"/>
    <s v="Amazon.com Inc. is planning its largest corporate hiring spree yet - wanting to add 55,000 globally, more than 80% of whom in the U.S. In Minneapolis, the company has nearly 170 open positions for work in its North Loop tech office: more than half related to Amazon Web Services operations, and the rest spread over operations technology, Amazon devices and human resources sectors._x000a_Amazon opened a tech office in the North Loop's T3 building in 2017, and has since expanded it to over 300 workers in a 90,000 SF space over three floors. "/>
    <m/>
    <m/>
    <n v="170"/>
    <x v="0"/>
    <m/>
    <x v="0"/>
    <x v="8"/>
    <s v="https://www.bizjournals.com/twincities/news/2021/09/09/amazon-hiring-thousands-corporate-tech-workers.html"/>
    <m/>
    <s v="323 N Washington Ave"/>
    <n v="55401"/>
    <n v="44.984155000000001"/>
    <n v="-93.274996999999999"/>
    <m/>
    <m/>
    <m/>
    <m/>
    <s v="Amazon"/>
    <s v="Seattle"/>
    <s v="WA"/>
    <m/>
    <s v="Metro"/>
    <x v="3"/>
  </r>
  <r>
    <x v="14"/>
    <d v="2021-09-09T00:00:00"/>
    <x v="11"/>
    <s v="Mountain Iron"/>
    <s v="St Louis"/>
    <s v="MN"/>
    <s v="Heliene, a provider of solar modules, and a subsidiary of Spain-based Helios Energy Europe, will expand its facility in Mountain Iron. The company will invest $21M, to become the 2nd-largest solar module manufacturing plant in the U.S.   The expansion will be completed in June 2022 and will create 60 new jobs. Heliene received $11.5M in assistance from sources in Minnesota, including $5.5M from Xcel Energy's renewable energy fund for infrastructure expenses; and the rest from a 3% loan from the state and the Iron Range Resources and Rehabilitation Board. _x000a_Update 10/2022: Expansion complete. New assembly line opens."/>
    <s v="MF"/>
    <n v="21000000"/>
    <n v="60"/>
    <x v="0"/>
    <m/>
    <x v="7"/>
    <x v="1"/>
    <s v="https://bit.ly/3nwYasQ"/>
    <m/>
    <s v="8787 Silicon Way"/>
    <n v="55768"/>
    <n v="47.521563"/>
    <n v="-92.606620000000007"/>
    <s v="Government"/>
    <s v="IRRR"/>
    <n v="2750000"/>
    <s v="x"/>
    <s v="Helios Energy Europe"/>
    <m/>
    <m/>
    <s v="Spain"/>
    <s v="North"/>
    <x v="3"/>
  </r>
  <r>
    <x v="14"/>
    <d v="2021-09-10T00:00:00"/>
    <x v="358"/>
    <s v="Mankato"/>
    <s v="Blue Earth"/>
    <s v="MN"/>
    <s v="CHS announced a major expansion and renovation to expand soybean oil refining capacity at Mankato’s plant. The over $60 million project is driven by upward trends in global consumption of refined oils, especially in the renewable diesel sector. When upgrades are complete soybean oil production at the facility will increase more than 35 percent. Project completion is expected in late summer 2023."/>
    <s v="MF"/>
    <n v="60000000"/>
    <m/>
    <x v="0"/>
    <m/>
    <x v="1"/>
    <x v="1"/>
    <s v="https://www.chsinc.com/about-chs/news/news/2021/09/07/expands-soybean-capacity-mankato"/>
    <s v="Company web site"/>
    <s v="2020 S Riverfront Dr"/>
    <n v="56001"/>
    <n v="44.157589999999999"/>
    <n v="-94.027878000000001"/>
    <m/>
    <m/>
    <m/>
    <m/>
    <m/>
    <m/>
    <m/>
    <m/>
    <s v="South"/>
    <x v="3"/>
  </r>
  <r>
    <x v="14"/>
    <d v="2021-09-10T00:00:00"/>
    <x v="588"/>
    <s v="Carlton"/>
    <s v="Hennepin"/>
    <s v="MN"/>
    <s v="Plant and warehouse expansion project: $1.5 million investment that will create 7 new jobs._x000a_Company background: Chemstar was launched in 1965 with the goal of becoming a world leader in starch polymer production. Their Carlton, Minnesota plant opened in 1979 to serve mining and drilling markets in the northwest U.S. The facility converts to a new drying technology to better serve the growing market for starch ether/derivative products._x000a_DEED JCF Award $140K"/>
    <s v="MF"/>
    <n v="1497000"/>
    <n v="7"/>
    <x v="0"/>
    <m/>
    <x v="28"/>
    <x v="1"/>
    <s v="n/a"/>
    <s v="DEED"/>
    <s v="3232 E 40th St"/>
    <n v="55406"/>
    <n v="44.931117"/>
    <n v="-93.224909999999994"/>
    <s v="Government"/>
    <s v="JCF"/>
    <n v="140000"/>
    <m/>
    <m/>
    <m/>
    <m/>
    <m/>
    <s v="Metro"/>
    <x v="3"/>
  </r>
  <r>
    <x v="14"/>
    <d v="2021-09-15T00:00:00"/>
    <x v="589"/>
    <s v="Maple Grove"/>
    <s v="Hennepin"/>
    <s v="MN"/>
    <s v="Peli BioThermal makes temperature-controlled packaging is used to ship Covid-19 vaccines at super-low temperatures. It recently relocated its headquarters to Maple Grove from Plymouth. (Prior to rebranding in July, it was known as Pelican BioThermal.) The company is now leasing a 117,000-square-foot distribution and production space, up from its previous 70,000-square-foot space._x000a_DEED Award (10/2021): MIF $315,000"/>
    <s v="DW, MF"/>
    <n v="727848"/>
    <n v="50"/>
    <x v="0"/>
    <n v="47000"/>
    <x v="57"/>
    <x v="1"/>
    <s v="https://www.bizjournals.com/twincities/news/2021/09/15/peli-biothermal-moves-headquarters-to-maple-grove.html"/>
    <m/>
    <s v="10050 89th Ave N"/>
    <n v="55369"/>
    <n v="45.117100999999998"/>
    <n v="-93.408434999999997"/>
    <s v="Government"/>
    <s v="MIF"/>
    <n v="315000"/>
    <m/>
    <m/>
    <m/>
    <m/>
    <m/>
    <s v="Metro"/>
    <x v="3"/>
  </r>
  <r>
    <x v="14"/>
    <d v="2021-09-17T00:00:00"/>
    <x v="590"/>
    <s v="Eden Prairie"/>
    <s v="Hennepin"/>
    <s v="MN"/>
    <s v="Eden Prairie-based Fintech Ready Credit provides  patented kiosks, ReadySTATION® that load cash to a Mastercard® or Visa® prepaid debit card. This allows consumers to instantly convert “cash to cards” so they can experience the convenience of electronic payments for rapid and safe transactions._x000a_Today, the company is poised to bring in $27 million in revenue. They’ve more than tripled the number of kiosks installed around the country, and their staff has grown by 65%."/>
    <m/>
    <m/>
    <m/>
    <x v="0"/>
    <m/>
    <x v="50"/>
    <x v="6"/>
    <s v="https://www.bizjournals.com/twincities/partner-insights/2021/09/17/eden-prairie-based-fintech-emerges-from-pandemic.html"/>
    <m/>
    <s v="10340 Viking Dr Suite 125"/>
    <n v="55344"/>
    <n v="44.860368000000001"/>
    <n v="-93.408475999999993"/>
    <m/>
    <m/>
    <m/>
    <m/>
    <m/>
    <m/>
    <m/>
    <m/>
    <s v="Metro"/>
    <x v="3"/>
  </r>
  <r>
    <x v="14"/>
    <d v="2021-09-19T00:00:00"/>
    <x v="591"/>
    <s v="Golden Valley"/>
    <s v="Hennepin"/>
    <s v="MN"/>
    <s v="Chromatic 3D Materials uses 3-D printing to produce specialized molds for med-tech firms and other manufacturers. Chromatic is about to close a new round of $5 million in venture capital. It expects to double employees to about 25, including several in Germany, and hit annual revenue of $3 million by 2023. Chromatic makes software and a &quot;thermoset polymer&quot; that is generally more flexible and stronger than typically used &quot;thermoplastic.&quot; Chromatic 3D Materials was in DEED's Angel Tax Credit Program in 2016 and 2017 when it raised $225,000.  "/>
    <m/>
    <m/>
    <n v="12"/>
    <x v="0"/>
    <m/>
    <x v="57"/>
    <x v="1"/>
    <s v="https://www.startribune.com/golden-valley-based-chromatic-3d-materials-closes-in-on-a-5-million-capital-infusion/600098826/?utm_source=newsletter&amp;utm_medium=email&amp;utm_campaign=amnews&amp;refresh=true"/>
    <m/>
    <s v="684 Mendelssohn Ave N"/>
    <n v="55427"/>
    <n v="44.986949000000003"/>
    <n v="-93.397054999999995"/>
    <s v="Venture Capital"/>
    <m/>
    <m/>
    <m/>
    <m/>
    <m/>
    <m/>
    <m/>
    <s v="Metro"/>
    <x v="3"/>
  </r>
  <r>
    <x v="14"/>
    <d v="2021-09-21T00:00:00"/>
    <x v="592"/>
    <s v="Big Lake"/>
    <s v="Sherburne"/>
    <s v="MN"/>
    <s v="Premier Marine, a large pontoon boat manufacturer is relocating its headquarters to Big Lake, from seven buildings in Wyoming, MN.  A new 151,710 sqft facility will serve as its headquarters and manufacturing facility. Another new 30,000 sqft separate building will house fiberglass and console operations.  Premier Marine brings 193 existing jobs and about 70 new jobs at the new facility. Total capital investment: $25.4 million. _x000a_Financial assistance: $1.2 million tax abatement_x000a_Broke ground in December 2021."/>
    <s v="HQ, MF"/>
    <n v="25400000"/>
    <n v="70"/>
    <x v="0"/>
    <n v="181710"/>
    <x v="22"/>
    <x v="1"/>
    <s v="https://www.hometownsource.com/monticello_times/community/big_lake/big-lake-lands-pontoon-maker-premier-marine/article_a785f830-1b28-11ec-81ac-7363f41ddaa4.html"/>
    <m/>
    <s v="18040 US Highway 10"/>
    <n v="55309"/>
    <n v="45.335988"/>
    <n v="-93.723983000000004"/>
    <s v="Government"/>
    <s v="TIF"/>
    <n v="1200000"/>
    <m/>
    <m/>
    <m/>
    <m/>
    <m/>
    <s v="Central"/>
    <x v="3"/>
  </r>
  <r>
    <x v="14"/>
    <d v="2021-09-23T00:00:00"/>
    <x v="12"/>
    <s v="Saint Paul"/>
    <s v="Ramsey"/>
    <s v="MN"/>
    <s v="Upsie founder and CEO Clarence Bethea closed on an $18.2 million Series A round in May, more than doubled the size of his staff, and aspires to build his online warranty platform into a multibillion-dollar company in St. Paul."/>
    <m/>
    <m/>
    <m/>
    <x v="0"/>
    <m/>
    <x v="36"/>
    <x v="6"/>
    <s v="https://tcbmag.com/why-this-st-paul-startup-ceo-moved-to-dallas/?utm_source=SilverpopMailing&amp;utm_medium=email&amp;utm_campaign=092621_TSUNDAYPRIMER%20(1)&amp;utm_content=Hyperlink_20210924_152234795&amp;spMailingID=19249061&amp;spUserID=MTMxNDI1OTY0Mzk1S0&amp;spJobID=2204322518&amp;spReportId=MjIwNDMyMjUxOAS2"/>
    <m/>
    <s v="370 Wabasha St N"/>
    <n v="55102"/>
    <n v="44.946106"/>
    <n v="-93.094076999999999"/>
    <m/>
    <s v="Venture Capital"/>
    <m/>
    <m/>
    <m/>
    <m/>
    <m/>
    <m/>
    <s v="Metro"/>
    <x v="3"/>
  </r>
  <r>
    <x v="15"/>
    <d v="2021-10-04T00:00:00"/>
    <x v="519"/>
    <s v="Minneapolis"/>
    <s v="Hennepin"/>
    <s v="MN"/>
    <s v="Target Corp. is strengthening its workforce in warehouses and distribution, promising to add another 30,000 positions (at unspecified locations). The Minneapolis-based retailer said the new hires would include roles ranging from hiring managers to warehouse and operational support staff.  The supply-chain jobs were for &quot;the holiday season and well beyond,&quot; an indication that these roles are separate from the 100,000 seasonal positions Target recently announced. "/>
    <m/>
    <m/>
    <m/>
    <x v="0"/>
    <m/>
    <x v="0"/>
    <x v="8"/>
    <s v="https://www.bizjournals.com/twincities/news/2021/10/04/target-adding-30-000-supply-chain.html"/>
    <m/>
    <m/>
    <n v="55401"/>
    <n v="44.984577000000002"/>
    <n v="-93.269097000000002"/>
    <m/>
    <m/>
    <m/>
    <m/>
    <m/>
    <m/>
    <m/>
    <m/>
    <s v="Metro"/>
    <x v="3"/>
  </r>
  <r>
    <x v="15"/>
    <d v="2021-10-13T00:00:00"/>
    <x v="60"/>
    <s v="Woodbury"/>
    <s v="Washington"/>
    <s v="MN"/>
    <s v="Amazon is building a 517,000-square-foot warehouse in Woodbury. (Code name was Project Belle.) This will be the e-commerce giant's third big distribution facility in the Twin Cities. Compared to fulfillment centers in Lakeville and Shakopee, the center in Woodbury will an inbound receiving centers, which serves as a buffer between Amazon’s suppliers and the bigger, expensive fulfillment centers. The project is expected to be completed by next summer. Expected new jobs: 500 (1,000 seasonally). "/>
    <s v="DW"/>
    <m/>
    <n v="500"/>
    <x v="0"/>
    <n v="517000"/>
    <x v="0"/>
    <x v="8"/>
    <s v="https://www.bizjournals.com/twincities/news/2021/10/13/amazon-woodbury-distribution-center.html"/>
    <m/>
    <s v="11975 Hudson Road"/>
    <n v="55125"/>
    <n v="44.944890000000001"/>
    <n v="-92.863780000000006"/>
    <m/>
    <m/>
    <m/>
    <m/>
    <s v="Amazon"/>
    <s v="Seattle"/>
    <s v="WA"/>
    <m/>
    <s v="Metro"/>
    <x v="3"/>
  </r>
  <r>
    <x v="15"/>
    <d v="2021-10-19T00:00:00"/>
    <x v="593"/>
    <s v="Minneapolis"/>
    <s v="Hennepin"/>
    <s v="MN"/>
    <s v="Duos pairs a trained personal assistant for aging with an older adult, thereby creating a duo. These companions provide helpful services such as shopping and companionship. Duos is looking to recruit stay-at-home parents to act as trained, personalized support from 9am to 3pm, untapped pool of workers._x000a_Duos raised $6 million in seed funding and is available to consumers nationwide. Duos is building out its team by hiring software engineers, operations specialists and product managers."/>
    <m/>
    <m/>
    <m/>
    <x v="0"/>
    <m/>
    <x v="63"/>
    <x v="0"/>
    <s v="https://www.bizjournals.com/twincities/inno/stories/profiles/2021/10/19/duos-age-at-home-senior-care.html"/>
    <m/>
    <m/>
    <n v="55401"/>
    <n v="44.984577000000002"/>
    <n v="-93.269097000000002"/>
    <s v="Venture Capital"/>
    <m/>
    <m/>
    <m/>
    <m/>
    <m/>
    <m/>
    <m/>
    <s v="Metro"/>
    <x v="3"/>
  </r>
  <r>
    <x v="15"/>
    <d v="2021-10-26T00:00:00"/>
    <x v="594"/>
    <s v="St. James"/>
    <s v="Watonwan"/>
    <s v="MN"/>
    <s v="Central Farm Services will construct a 350,000-ton feed mill in St. James, MN. The construction of this mill will begin in fall 2021 with completion in 2023.  The new feed mill could expand to 550,000 tons. The city of St. James was awarded $382,067 by the State of MN to assist with $764,000 in needed public infrastructure improvements. Project Investment will be $19.5 million. The project will add and retain 9 jobs. The project will increase tax base by $6 million."/>
    <s v="MF"/>
    <n v="19500000"/>
    <m/>
    <x v="14"/>
    <m/>
    <x v="1"/>
    <x v="1"/>
    <s v="https://www.cfscoop.com/news/company-news/cfs-announces-new-feed-mill-in-st-james,-mn"/>
    <s v="Company website"/>
    <s v="832 1st Ave. South"/>
    <n v="56081"/>
    <n v="43.982900000000001"/>
    <n v="-94.625393000000003"/>
    <s v="Government"/>
    <s v="BDPI"/>
    <n v="382067"/>
    <m/>
    <m/>
    <m/>
    <m/>
    <m/>
    <s v="South"/>
    <x v="3"/>
  </r>
  <r>
    <x v="15"/>
    <d v="2021-10-29T00:00:00"/>
    <x v="567"/>
    <s v="Rosemount"/>
    <s v="Dakota"/>
    <s v="MN"/>
    <s v="The city of Rosemount recently gave a nod to Scannell Properties, which plans to develop a warehouse and distribution center on 86 acres on what is now the Rich Valley Golf Course. Initial plans call for a 548,000 square-foot building with trailer parking and loading docks.  Planning documents, which include renderings that identify the tenant as Fed Ex. It's expected to bring 400 to 600 jobs the city."/>
    <s v="DW"/>
    <m/>
    <n v="600"/>
    <x v="0"/>
    <n v="548000"/>
    <x v="0"/>
    <x v="3"/>
    <s v="https://www.startribune.com/home-depot-fed-ex-are-building-giant-distribution-centers-in-rosemount/600111133/"/>
    <s v="Star Tribune, DEED"/>
    <s v="3855 145th St E"/>
    <n v="55068"/>
    <n v="44.739863999999997"/>
    <n v="-93.025127999999995"/>
    <m/>
    <m/>
    <m/>
    <m/>
    <m/>
    <m/>
    <m/>
    <m/>
    <s v="Metro"/>
    <x v="3"/>
  </r>
  <r>
    <x v="15"/>
    <d v="2021-10-29T00:00:00"/>
    <x v="595"/>
    <s v="Rosemount"/>
    <s v="Dakota"/>
    <s v="MN"/>
    <s v="Construction has begun on a 417,600-square-foot distribution building for Home Depot USA. The project will also include 210,400 square foot of outdoor storage space. Two railroad spurs are also included in the project. State of MN DEED 9/3/21 MIF Award of $375,000. Expect to create 50 new jobs paying an average of $19.85/hr. Project cost: $63,218,518"/>
    <s v="DW"/>
    <n v="63218518"/>
    <n v="50"/>
    <x v="0"/>
    <n v="417600"/>
    <x v="0"/>
    <x v="8"/>
    <s v="https://www.startribune.com/home-depot-fed-ex-are-building-giant-distribution-centers-in-rosemount/600111133/"/>
    <s v="Star Tribune, DEED"/>
    <s v="15195 Boulder Avenue"/>
    <n v="55068"/>
    <n v="44.728490999999998"/>
    <n v="-93.125985999999997"/>
    <s v="Government"/>
    <s v="MIF"/>
    <n v="375000"/>
    <m/>
    <m/>
    <m/>
    <m/>
    <m/>
    <s v="Metro"/>
    <x v="3"/>
  </r>
  <r>
    <x v="15"/>
    <d v="2021-11-07T00:00:00"/>
    <x v="596"/>
    <s v="Oakdale"/>
    <s v="Washington"/>
    <s v="MN"/>
    <s v="Growing global awareness of potential eye strain caused by blue light emission from digital screens has sent sales soaring at a small Minnesota firm that makes blue light protection products. Over the past four years, Eyesafe has seen its revenue increase by nearly 900% off the sale of about 40 million electronic devices. Eyesafe is leasing lab space in Oakdale, a fourfold increase in space from its existing lab space in Eden Prairie. "/>
    <s v="RD"/>
    <m/>
    <m/>
    <x v="0"/>
    <m/>
    <x v="11"/>
    <x v="1"/>
    <s v="https://www.startribune.com/small-minnesota-company-goes-big-with-blue-light-protection/600113957/"/>
    <m/>
    <s v="3510 Hopkins Pl"/>
    <n v="55128"/>
    <n v="45.000019999999999"/>
    <n v="-92.948884000000007"/>
    <m/>
    <m/>
    <m/>
    <m/>
    <m/>
    <m/>
    <m/>
    <m/>
    <s v="Metro"/>
    <x v="3"/>
  </r>
  <r>
    <x v="15"/>
    <d v="2021-11-07T00:00:00"/>
    <x v="597"/>
    <s v="Rosemount"/>
    <s v="Dakota"/>
    <s v="MN"/>
    <s v="Spectro Alloys is investing $10 million to make its Rosemount plant, the Upper Midwest's largest processor of industrial aluminum, safer and more energy efficient. Spectro is upgrading one of its three furnaces and  has broken ground on a 70,000-square-foot warehouse addition to its 90,000-square-foot facility, to be completed next spring. Spectro just completed a new $3 million &quot;baghouse&quot; and related equipment.  Spectro purchases aluminum scrap and ships weekly about 90 truckloads of aluminum ingots."/>
    <s v="DW"/>
    <n v="10000000"/>
    <m/>
    <x v="0"/>
    <n v="70000"/>
    <x v="55"/>
    <x v="5"/>
    <s v="https://www.startribune.com/st-anthony-spectro-alloys-invests-10-million-in-its-aluminum-recycling-business/600113955/?refresh=true"/>
    <m/>
    <s v="13220 Doyle Path"/>
    <n v="55068"/>
    <n v="44.757401000000002"/>
    <n v="-93.011330999999998"/>
    <m/>
    <m/>
    <m/>
    <m/>
    <m/>
    <m/>
    <m/>
    <m/>
    <s v="Metro"/>
    <x v="3"/>
  </r>
  <r>
    <x v="15"/>
    <d v="2021-11-09T00:00:00"/>
    <x v="60"/>
    <s v="Maple Grove"/>
    <s v="Hennepin"/>
    <s v="MN"/>
    <s v="Amazon has opened a 350,000-square-foot &quot;sortation center&quot; in Maple Grove that it expects will employ for over 1,000 workers. Employees at the facility are tasked with receiving, storing and shipping out items for delivery. Ultimately, Amazon expects the sortation center to speed up the deliveries for its customers._x000a_The sortation center, located at 10440 89th Avenue in Maple Grove, received its first shipment on Wednesday, Oct. 27."/>
    <s v="DW"/>
    <m/>
    <n v="1000"/>
    <x v="0"/>
    <n v="350000"/>
    <x v="0"/>
    <x v="8"/>
    <s v="https://www.bizjournals.com/twincities/news/2021/11/09/amazon-sortation-center-in-maple-grove.html"/>
    <m/>
    <s v="10440 89th Avenue"/>
    <n v="55369"/>
    <n v="45.117942999999997"/>
    <n v="-93.413921999999999"/>
    <m/>
    <m/>
    <m/>
    <m/>
    <s v="Amazon"/>
    <s v="Seattle"/>
    <s v="WA"/>
    <m/>
    <s v="Metro"/>
    <x v="3"/>
  </r>
  <r>
    <x v="15"/>
    <d v="2021-11-09T00:00:00"/>
    <x v="598"/>
    <s v="Minneapolis"/>
    <s v="Hennepin"/>
    <s v="MN"/>
    <s v="New York City-based Oculogica Inc. has built out its first sales and marketing team, doubling the company's employee count and maximizing its ability to commercialize its eye-tracking technology for diagnosing concussions. The company is looking to shift from research and development to putting its EyeBox device in more doctor's offices.  The business unit created a new Minneapolis-based team and has job openings for developers, marketers and project managers."/>
    <m/>
    <m/>
    <n v="8"/>
    <x v="0"/>
    <m/>
    <x v="11"/>
    <x v="1"/>
    <s v="https://www.bizjournals.com/twincities/inno/stories/news/2021/11/09/oculogica-marketing-team-commercialiazation.html"/>
    <m/>
    <m/>
    <n v="55401"/>
    <n v="44.984577000000002"/>
    <n v="-93.269097000000002"/>
    <m/>
    <m/>
    <m/>
    <m/>
    <m/>
    <m/>
    <m/>
    <m/>
    <s v="Metro"/>
    <x v="3"/>
  </r>
  <r>
    <x v="15"/>
    <d v="2021-11-18T00:00:00"/>
    <x v="599"/>
    <s v="Fridley"/>
    <s v="Anoka"/>
    <s v="MN"/>
    <s v="Fridley-based Colburn Manufacturing, a family-owned machine shop that makes parts for a variety of industries, is on track to double its footprint next spring and add new equipment to keep up with runaway demand. Colburn Manufacturing has 18 employees."/>
    <s v="MF"/>
    <m/>
    <m/>
    <x v="0"/>
    <m/>
    <x v="4"/>
    <x v="1"/>
    <s v="https://www.startribune.com/minnesota-manufacturing-is-looking-up-despite-supply-chain-concerns/600118143/"/>
    <m/>
    <s v="7341 Commerce Ln"/>
    <n v="55432"/>
    <n v="45.104985999999997"/>
    <n v="-93.266814999999994"/>
    <m/>
    <m/>
    <m/>
    <m/>
    <m/>
    <m/>
    <m/>
    <m/>
    <s v="Metro"/>
    <x v="3"/>
  </r>
  <r>
    <x v="15"/>
    <d v="2021-11-18T00:00:00"/>
    <x v="600"/>
    <s v="Plymouth"/>
    <s v="Hennepin"/>
    <s v="MN"/>
    <s v="Plymouth-based Summit Mortgage Corp. usually helps others moving to new homes. On Nov. 1 the national lender signed a $4.9 million cash deal for a new home of its own right in town. Via a related entity, Summit acquired the 50,021-square-foot flex building at 9600 54th Ave. N also in Plymouth- which  is about 5 miles north of its current space at 13355 10th Ave. N. Summit plans to renovate the building, use about half and lease the rest to a tenant."/>
    <s v="HQ, OF"/>
    <n v="4900000"/>
    <m/>
    <x v="0"/>
    <n v="25000"/>
    <x v="50"/>
    <x v="6"/>
    <s v="https://finance-commerce.com/2021/11/just-sold-summit-mortgage-buys-new-hometown-headquarters/"/>
    <m/>
    <s v="13355 10th Ave N"/>
    <n v="55441"/>
    <n v="44.988151999999999"/>
    <n v="-93.449973"/>
    <m/>
    <m/>
    <m/>
    <m/>
    <m/>
    <m/>
    <m/>
    <m/>
    <s v="Metro"/>
    <x v="3"/>
  </r>
  <r>
    <x v="15"/>
    <d v="2021-11-21T00:00:00"/>
    <x v="601"/>
    <s v="Minneapolis"/>
    <s v="Hennepin"/>
    <s v="MN"/>
    <s v="North Dakota-based Bell Bank, inspired by a decade of success in the Twin Cities, has opened a flagship downtown office in City Center in Minneapolis and added a retail-commercial facility (in Minneapolis?) to complement its (existing) big mortgage office at &quot;Bell Plaza&quot; off Interstate 494 in Bloomington. The expansion comes amid a slowly reviving downtown. Bell is Twin Cities' 10th-largest bank and employs about 550 people in the area."/>
    <s v="OF"/>
    <m/>
    <m/>
    <x v="0"/>
    <m/>
    <x v="50"/>
    <x v="6"/>
    <s v="https://www.startribune.com/north-dakotas-largest-bank-is-fueled-by-growth-in-twin-cities/600119340/"/>
    <m/>
    <s v="33 South 6th St"/>
    <n v="55402"/>
    <n v="44.977378000000002"/>
    <n v="-93.273094"/>
    <m/>
    <m/>
    <m/>
    <m/>
    <s v="Bell Bank"/>
    <m/>
    <s v="North Dakota"/>
    <m/>
    <s v="Metro"/>
    <x v="3"/>
  </r>
  <r>
    <x v="15"/>
    <d v="2021-11-21T00:00:00"/>
    <x v="519"/>
    <s v="Eagan"/>
    <s v="Dakota"/>
    <s v="MN"/>
    <s v="In the spring, Target embraced hybrid work options permanently and gave up nearly 1 million square feet of office space in downtown Minneapolis. Target now is creating &quot;flex floors&quot; at its Minneapolis and Brooklyn Park campuses, and is opening a new Eagan site for (office) workers who want a transitional space to do in-person or virtual work."/>
    <s v="OF"/>
    <m/>
    <m/>
    <x v="0"/>
    <m/>
    <x v="0"/>
    <x v="8"/>
    <s v="https://www.startribune.com/some-minnesota-employers-rush-to-bring-office-workers-back-before-the-new-year/600119449/"/>
    <m/>
    <m/>
    <n v="55122"/>
    <n v="44.802790999999999"/>
    <n v="-93.167767999999995"/>
    <m/>
    <m/>
    <m/>
    <m/>
    <m/>
    <m/>
    <m/>
    <m/>
    <s v="Metro"/>
    <x v="3"/>
  </r>
  <r>
    <x v="15"/>
    <d v="2021-11-23T00:00:00"/>
    <x v="565"/>
    <s v="St. Cloud"/>
    <s v="Sherburne"/>
    <s v="MN"/>
    <s v="Grocer Coborn's Inc has a new primary wholesaler --  Kansas City-based Associated Wholesale Grocers (AWG) --who's entering the Minnesota market with big expansion plans. AWG is moving into a 316,000-square-foot building in St. Cloud, which will be its new Upper Midwest Division HQ. _x000a_Later this year, Associated Wholesale Grocers (AWG) plans to build another 300,000+ square-foot warehouse in a location TBD; and after that, AWG expects to expand once again into a single facility in Minnesota, with as much as 1 million square feet of space."/>
    <s v="WH"/>
    <n v="75435596"/>
    <n v="114"/>
    <x v="0"/>
    <n v="330000"/>
    <x v="56"/>
    <x v="10"/>
    <s v="https://www.bizjournals.com/twincities/news/2021/11/23/associated-wholesale-grocers-st-cloud-warehouse.html"/>
    <m/>
    <s v="St. Cloud I-94 Business Park"/>
    <m/>
    <n v="45.464820000000003"/>
    <n v="-94.123890000000003"/>
    <s v="Government"/>
    <s v="JCF ($175K), TIF (unknown value)"/>
    <n v="175000"/>
    <m/>
    <m/>
    <m/>
    <m/>
    <m/>
    <s v="Central"/>
    <x v="3"/>
  </r>
  <r>
    <x v="15"/>
    <d v="2021-11-29T00:00:00"/>
    <x v="602"/>
    <s v="Minneapolis"/>
    <s v="Hennepin"/>
    <s v="MN"/>
    <s v="MentorMate is evolving its software business to focus on its bigger clients and as a result, has seen 20% yearly revenue growth even through the pandemic. The company has more than 700 employees working in 20 countries — including five offices in Bulgaria — and expects to top 1,000 workers in the next two years. The Minneapolis office employs 60. Minneapolis employees  have worked remotely for two years and are set to move into Uptown's MoZaic West in December."/>
    <s v="OF"/>
    <m/>
    <m/>
    <x v="0"/>
    <m/>
    <x v="25"/>
    <x v="9"/>
    <s v="https://www.startribune.com/minneapolis-mentormate-shifts-to-helping-larger-clients-leverage-data/600121960/"/>
    <m/>
    <s v="1350 Lagoon Ave Suite 800"/>
    <n v="55408"/>
    <n v="44.949720999999997"/>
    <n v="-93.297130999999993"/>
    <m/>
    <m/>
    <m/>
    <m/>
    <m/>
    <m/>
    <m/>
    <m/>
    <s v="Metro"/>
    <x v="3"/>
  </r>
  <r>
    <x v="15"/>
    <d v="2021-11-30T00:00:00"/>
    <x v="603"/>
    <s v="Golden Valley"/>
    <s v="Hennepin"/>
    <s v="MN"/>
    <s v="One of the world's most powerful quantum computers sits in Golden Valley. Honeywell predicts supercharged computing will become a $1 trillion industry.   Quantinuum resulted from the merger of Honeywell spinoff Honeywell Quantum Solutions and English software company Cambridge Quantum Computing. The new company  will be headquartered in Colorado and the U.K., but maintain a 40-person workforce in Minnesota that  will continue to grow, due to its longstanding expertise and being close to other Honeywell operations."/>
    <m/>
    <m/>
    <m/>
    <x v="0"/>
    <m/>
    <x v="3"/>
    <x v="4"/>
    <s v="https://www.startribune.com/honeywell-spins-off-minnesota-grown-quantum-computing-division-into-new-company-quantinuum/600122267/"/>
    <m/>
    <s v="1985 Douglas Dr N"/>
    <n v="55422"/>
    <n v="45.000366"/>
    <n v="-93.362853999999999"/>
    <m/>
    <m/>
    <m/>
    <s v="x"/>
    <s v="Quantinuum"/>
    <s v="Cambridge"/>
    <m/>
    <s v="U.K."/>
    <s v="Metro"/>
    <x v="3"/>
  </r>
  <r>
    <x v="15"/>
    <d v="2021-11-30T00:00:00"/>
    <x v="604"/>
    <s v="Winnebago"/>
    <s v="Faribault"/>
    <s v="MN"/>
    <s v=" in late 2020, Greenfield Global bought the former Corn Plus plant -- one of the oldest ethanol plants in the state -- out of receivership. It was the giant Canadian company’s first move into biofuels production in the United States._x000a__x000a_After a series of upgrades to the plant, Greenfield fired up the plant in November of 2021. The plant has about 50 employees and Pankonen said it is approaching its current potential production of 48 million gallons per year. "/>
    <m/>
    <m/>
    <n v="50"/>
    <x v="0"/>
    <m/>
    <x v="28"/>
    <x v="1"/>
    <s v="https://www.mankatofreepress.com/news/local_news/winnebago-ethanol-plant-gets-new-life-from-a-new-company/article_974f3aae-d0e4-11ec-86e4-07f0c724b543.html?utm_source=mankatofreepress.com&amp;utm_campaign=/newsletters/lists/headlines/%3F-dc%3D1652614218&amp;utm_medium=email&amp;utm_content=read%20more"/>
    <m/>
    <m/>
    <m/>
    <m/>
    <m/>
    <m/>
    <m/>
    <m/>
    <s v="x"/>
    <s v="Greenfield Global"/>
    <m/>
    <m/>
    <s v="CANADA"/>
    <s v="South"/>
    <x v="3"/>
  </r>
  <r>
    <x v="15"/>
    <d v="2021-12-02T00:00:00"/>
    <x v="605"/>
    <s v="Brooklyn Park"/>
    <s v="Hennepin"/>
    <s v="MN"/>
    <s v="Split Rock Studios, a longtime maker of giant snakes, historic displays and other interpretive exhibits, are moving from Arden Hills to Brooklyn Park by the end of the year. The last offices are set to move by mid-January. Split Rock purchased a 62,500-square-foot building in November 2021.  The move will allow the 40 employee-owners to build equity while they grow their business in an increasingly competitive field."/>
    <s v="MF"/>
    <n v="3750000"/>
    <m/>
    <x v="0"/>
    <n v="25000"/>
    <x v="69"/>
    <x v="1"/>
    <s v="https://finance-commerce.com/2021/12/just-sold-split-rock-studios-buys-new-brooklyn-park-home/"/>
    <m/>
    <s v="6401 Welcome Ave. N"/>
    <n v="55443"/>
    <n v="45.071669999999997"/>
    <n v="-93.352670000000003"/>
    <m/>
    <m/>
    <m/>
    <m/>
    <m/>
    <m/>
    <m/>
    <m/>
    <s v="Metro"/>
    <x v="3"/>
  </r>
  <r>
    <x v="15"/>
    <d v="2021-12-06T00:00:00"/>
    <x v="606"/>
    <s v="Brooklyn Center"/>
    <s v="Hennepin"/>
    <s v="MN"/>
    <s v="Bizzy Coffee Eyes National Expansion. The Minneapolis-based cold brew brand is raising nearly $7 million to build a new Minnesota production facility and expand its presence across the country.  They expect the expansion to take place in the first quarter of 2022. Bizzy currently employs about 30 people in total and hopes to add a few more employees in operations, marketing, and sales. "/>
    <s v="MF"/>
    <m/>
    <m/>
    <x v="0"/>
    <m/>
    <x v="1"/>
    <x v="1"/>
    <s v="https://tcbmag.com/bizzy-coffee-eyes-national-expansion/"/>
    <m/>
    <s v=" 2700 Freeway Blvd #200"/>
    <n v="55430"/>
    <n v="45.076290999999998"/>
    <n v="-93.315753000000001"/>
    <s v="Venture Capital"/>
    <m/>
    <m/>
    <m/>
    <m/>
    <m/>
    <m/>
    <m/>
    <s v="Metro"/>
    <x v="3"/>
  </r>
  <r>
    <x v="15"/>
    <d v="2021-12-16T00:00:00"/>
    <x v="607"/>
    <s v="Saint Paul"/>
    <s v="Ramsey"/>
    <s v="MN"/>
    <s v="Justifi, an embedded fintech platform for vertical software-as-a-service companies raised $6.6 million in a seed round. The funding will be used to scale its team and build out the product._x000a_JustiFi uses an AI decision engine to help reduce the more than $195 billion that internet businesses paid in payment-processing fees in 2020. _x000a_UPDATE TCB 12/23/21:  JustiFi is currenlty based in Minneapolis, but plans relocate to a converted warehouse in St. Paul in 2022."/>
    <m/>
    <m/>
    <m/>
    <x v="0"/>
    <m/>
    <x v="25"/>
    <x v="9"/>
    <s v="https://www.bizjournals.com/twincities/inno/stories/news/2021/12/16/fintech-startup-justifi-raises-6-6-million.html"/>
    <m/>
    <m/>
    <n v="55101"/>
    <n v="44.951483000000003"/>
    <n v="-93.090648999999999"/>
    <s v="Venture Capital"/>
    <m/>
    <m/>
    <m/>
    <m/>
    <m/>
    <m/>
    <m/>
    <s v="Metro"/>
    <x v="3"/>
  </r>
  <r>
    <x v="15"/>
    <d v="2021-12-17T00:00:00"/>
    <x v="608"/>
    <s v="Renville"/>
    <s v="Renville"/>
    <s v="MN"/>
    <s v="Southern Minnesota Beet Sugar Cooperative, Renville County’s largest employer, is planning to invest $175 million in buildings and equipment. …SMBSC has about 350 permanent employees…(that) balloon to more than 700 people during fall harvest. They anticipate creating an additional 75 jobs over the next five years. Sugar beets are harvested in the fall, processed by Renville's SMBSC plant over the fall, winter and spring._x000a_2021 TEDI Award for Renville County: $200,000 to reconstruct 3 miles of roadway to support the expansion."/>
    <s v="MF"/>
    <n v="175000000"/>
    <n v="75"/>
    <x v="0"/>
    <m/>
    <x v="0"/>
    <x v="14"/>
    <s v="https://mn.gov/deed/newscenter/press-releases/#/detail/appId/1/id/513331"/>
    <m/>
    <s v="83550 Co Hwy 21"/>
    <n v="56284"/>
    <n v="44.795611999999998"/>
    <n v="-95.179220000000001"/>
    <s v="Government"/>
    <s v="TEDI"/>
    <n v="200000"/>
    <m/>
    <m/>
    <m/>
    <m/>
    <m/>
    <s v="Central"/>
    <x v="3"/>
  </r>
  <r>
    <x v="15"/>
    <d v="2021-12-28T00:00:00"/>
    <x v="609"/>
    <s v="Brooklyn Park"/>
    <s v="Hennepin"/>
    <s v="MN"/>
    <s v="EideCom has found success in the pandemic by adding streaming capabilities and offering a new product, SecondStage, as an online platform for virtual events, with pre-recorded or live-streamed content. Now, the company is moving this month into new, larger multimillion-dollar headquarters it built in Brooklyn Park, a mile from its current home. The new space is more than triple the size of the company's existing offices. Eide expects to grow from 22 employees to roughly 40 by the end of 2022."/>
    <s v="HQ, OF"/>
    <m/>
    <n v="18"/>
    <x v="0"/>
    <m/>
    <x v="10"/>
    <x v="4"/>
    <s v="https://www.startribune.com/minnesota-event-planning-company-eidecom-building-larger-hq-in-brooklyn-park/600130776/"/>
    <m/>
    <s v="7601 Northland Dr N Suite 100"/>
    <n v="55428"/>
    <n v="45.092253999999997"/>
    <n v="-93.398638000000005"/>
    <m/>
    <m/>
    <m/>
    <m/>
    <m/>
    <m/>
    <m/>
    <m/>
    <s v="Metro"/>
    <x v="3"/>
  </r>
  <r>
    <x v="15"/>
    <d v="2021-12-29T00:00:00"/>
    <x v="421"/>
    <s v="Blaine"/>
    <s v="Anoka"/>
    <s v="MN"/>
    <s v="Chandler Industries Inc. will consolidate its Minneapolis and Bethel operations into a newly constructed building in Blaine. The 100,000-square-foot facility at 8650 W. 35W Service Drive will serve as Chandler's headquarters.The new headquarters will house 140 full-time employees and consolidates the company's manufacturing technology, technical staff and operational teams into a single facility.  Chandler Industries manufactures precision-machined components and fabricated sheet metal. "/>
    <s v="HQ, MF"/>
    <m/>
    <m/>
    <x v="0"/>
    <n v="100000"/>
    <x v="27"/>
    <x v="1"/>
    <s v="https://www.bizjournals.com/twincities/news/2021/12/29/chandler-industries-blaine-headquarters.html"/>
    <m/>
    <s v="8650 W. 35W Service Drive"/>
    <n v="55449"/>
    <n v="45.122703000000001"/>
    <n v="-93.191467000000003"/>
    <m/>
    <m/>
    <m/>
    <m/>
    <m/>
    <m/>
    <m/>
    <m/>
    <s v="Metro"/>
    <x v="3"/>
  </r>
  <r>
    <x v="15"/>
    <d v="2021-12-29T00:00:00"/>
    <x v="610"/>
    <s v="Bloomington"/>
    <s v="Hennepin"/>
    <s v="MN"/>
    <s v="Thermo King, headquartered in Bloomington, is the global leader in transport refrigeration and heating for trailers, trucks, buses, rail cars and shipboard containers. Renovation to interior office and meeting areas, based on three Bloomington construction permits (October-December)"/>
    <s v="OF"/>
    <n v="2545230"/>
    <m/>
    <x v="0"/>
    <m/>
    <x v="22"/>
    <x v="1"/>
    <s v="https://www.ci.stcloud.mn.us/812/Building-Permit-Reports"/>
    <m/>
    <s v="314 W 90TH ST"/>
    <n v="55420"/>
    <n v="44.842655000000001"/>
    <n v="-93.284991000000005"/>
    <m/>
    <m/>
    <m/>
    <m/>
    <m/>
    <m/>
    <m/>
    <m/>
    <s v="Metro"/>
    <x v="3"/>
  </r>
  <r>
    <x v="15"/>
    <d v="2021-12-31T00:00:00"/>
    <x v="611"/>
    <s v="Lakeville"/>
    <s v="Dakota"/>
    <s v="MN"/>
    <s v="Magnum Trucking received City Council approval in November for the construction of a new 31,360-square-foot trans-load trucking facility, 9,408-square-foot office and 13,824-square-foot_x000a_truck maintenance building. The proposed site is located south of 215th Street (CSAH 70) and west of Jacquard Avenue. The largest permitted project in Lakeville in 2021 was a new LTL trucking facility for Magnum Trucking, valued at $11 million_x000a_Update: Opened in October 2022"/>
    <s v="DW"/>
    <n v="11000000"/>
    <m/>
    <x v="0"/>
    <n v="54592"/>
    <x v="0"/>
    <x v="3"/>
    <s v="https://www.lakevillemn.gov/DocumentCenter/View/12641/January-2023-PDF"/>
    <m/>
    <s v="22000 Humboldt Rd"/>
    <n v="55044"/>
    <n v="44.631345000000003"/>
    <n v="-93.254774999999995"/>
    <m/>
    <m/>
    <m/>
    <m/>
    <m/>
    <m/>
    <m/>
    <m/>
    <s v="Metro"/>
    <x v="3"/>
  </r>
  <r>
    <x v="15"/>
    <d v="2021-12-31T00:00:00"/>
    <x v="612"/>
    <s v="Coon Rapids"/>
    <s v="Anoka"/>
    <s v="MN"/>
    <s v="From 2021-Q4 Coon Rapids Building Permits, publ. Jan 2022. Commercial Interior Remodel"/>
    <m/>
    <n v="2500000"/>
    <m/>
    <x v="0"/>
    <m/>
    <x v="23"/>
    <x v="1"/>
    <s v="https://www.coonrapidsmn.gov/Archive.aspx?AMID=79"/>
    <s v="City of Coon Rapids"/>
    <s v="8840 Evergreen Blvd."/>
    <n v="55433"/>
    <n v="45.130521999999999"/>
    <n v="-93.274870000000007"/>
    <m/>
    <m/>
    <m/>
    <m/>
    <m/>
    <m/>
    <m/>
    <m/>
    <s v="Metro"/>
    <x v="3"/>
  </r>
  <r>
    <x v="16"/>
    <d v="2022-01-10T00:00:00"/>
    <x v="613"/>
    <s v="Eagan"/>
    <s v="Dakota"/>
    <s v="MN"/>
    <s v="School lunch provider doubles capacity in new Eagan facility. CKC Good Foods, provider of lunches for metro-area schools, purchased the 42,450-square-foot building last spring, and invested in an extensive build-out. About 12,000 sqft is for a kitchen, and another 12,000 sqft is for food storage. The company invested about $7 million to $7.5 million in the new space, including property acquisition and improvements. "/>
    <s v="MF"/>
    <n v="7500000"/>
    <m/>
    <x v="0"/>
    <n v="42450"/>
    <x v="0"/>
    <x v="8"/>
    <s v="https://finance-commerce.com/2022/01/school-lunch-provider-doubles-capacity-in-new-eagan-facility/?ep=1"/>
    <s v="Finance &amp; Commerce"/>
    <s v=" 2919 W. Service Road"/>
    <n v="55121"/>
    <n v="44.851018000000003"/>
    <n v="-93.153662999999995"/>
    <m/>
    <m/>
    <m/>
    <m/>
    <m/>
    <m/>
    <m/>
    <m/>
    <s v="Metro"/>
    <x v="4"/>
  </r>
  <r>
    <x v="16"/>
    <d v="2022-01-12T00:00:00"/>
    <x v="614"/>
    <s v="Owatonna"/>
    <s v="Steele"/>
    <s v="MN"/>
    <s v="Climate by Design International is planning a new 200,000 sqft facility in Owatonna’s industrial park, doubling the size of their current three separately leased areas around town. The manufacturing company creates desiccant dehumidifiers and critical process air handlers. _x000a_The Owatonna City Council approved a public hearing date to establish a Tax Increment Financing (TIF) district for the new 200,000 square foot CDI manufacturing facility on Bridge Street._x000a_Along with the new facility, CDI will be adding 50 new jobs."/>
    <s v="MF"/>
    <n v="37000000"/>
    <n v="75"/>
    <x v="0"/>
    <n v="212700"/>
    <x v="4"/>
    <x v="1"/>
    <s v="https://www.southernminn.com/owatonna_peoples_press/news/article_4c1bac52-b59d-5bbe-bb7e-dd1e2c929af2.html"/>
    <s v="Southern MN"/>
    <s v="200 Festal Pl. NW."/>
    <n v="55060"/>
    <n v="44.091718"/>
    <n v="-93.256158999999997"/>
    <m/>
    <m/>
    <m/>
    <m/>
    <m/>
    <m/>
    <m/>
    <m/>
    <s v="South"/>
    <x v="4"/>
  </r>
  <r>
    <x v="16"/>
    <d v="2022-01-13T00:00:00"/>
    <x v="4"/>
    <s v="Willmar"/>
    <s v="Kandiyohi"/>
    <s v="MN"/>
    <s v="FedEx is constructing a massive logistics facility in Willmar Industrial Park that will add about 100 jobs.  The shipping firm currently has two sites in Willmar. The project is  worth more than $30 million, and includes constructing a 217,000-square-foot distribution center. The EDC, city of Willmar and site developer RDC National have been working together for several months. RDC purchased the land for $621,000. The project is being constructed without the assistance of tax increment financing or tax abatement."/>
    <s v="WH"/>
    <n v="50000000"/>
    <n v="100"/>
    <x v="0"/>
    <n v="217000"/>
    <x v="0"/>
    <x v="3"/>
    <s v="https://www.wctrib.com/business/fedex-behind-massive-logistics-facility-being-constructed-in-willmar-industrial-park"/>
    <s v="West Central Tribune"/>
    <m/>
    <n v="56201"/>
    <n v="45.147103999999999"/>
    <n v="-94.977722999999997"/>
    <m/>
    <m/>
    <m/>
    <m/>
    <m/>
    <m/>
    <m/>
    <m/>
    <s v="Central"/>
    <x v="4"/>
  </r>
  <r>
    <x v="16"/>
    <d v="2022-01-13T00:00:00"/>
    <x v="615"/>
    <s v="Saint Paul"/>
    <s v="Ramsey"/>
    <s v="MN"/>
    <s v="Soldier Trucking purchased the former Bix Produce Co. facility near downtown St. Paul. The company — which is based in St. Paul with offices in Mendota Heights — plans to relocate 20 administrative jobs from Mendota Heights, retain 52 positions in St. Paul and add 60-70 new positions over the next 18 to 24 months._x000a_Soldier Trucking is a veteran-owned transportation company that focuses on putting people from diverse backgrounds — including disabled vets — to work."/>
    <s v="WH"/>
    <m/>
    <n v="70"/>
    <x v="15"/>
    <n v="71000"/>
    <x v="0"/>
    <x v="3"/>
    <s v="https://www.startribune.com/st-paul-building-once-poised-to-be-a-covid-morgue-sold-to-trucking-company-that-employs-veterans-bix/600135584/"/>
    <s v="Star Tribune"/>
    <s v="1415 L'Orient St."/>
    <n v="55117"/>
    <n v="44.983800000000002"/>
    <n v="-93.091909999999999"/>
    <m/>
    <m/>
    <m/>
    <m/>
    <m/>
    <m/>
    <m/>
    <m/>
    <s v="Metro"/>
    <x v="4"/>
  </r>
  <r>
    <x v="16"/>
    <d v="2022-01-14T00:00:00"/>
    <x v="616"/>
    <s v="Arden Hills"/>
    <s v="Ramsey"/>
    <s v="MN"/>
    <s v="DEED JCF Award: $400,000. Investment $13.9 million, 40 new jobs paying average of $36.25/hr"/>
    <s v="[unknown]"/>
    <n v="13900000"/>
    <n v="40"/>
    <x v="0"/>
    <m/>
    <x v="11"/>
    <x v="1"/>
    <s v="https://www.startribune.com/south-carolina-firm-will-hire-more-than-100-workers-for-new-catheter-plant-in-arden-hills-zeus/600266715/"/>
    <s v="DEED"/>
    <s v="1275 Red Fox Rd"/>
    <n v="55112"/>
    <n v="45.058157000000001"/>
    <n v="-93.154708999999997"/>
    <s v="Government"/>
    <s v="JCF"/>
    <n v="400000"/>
    <m/>
    <m/>
    <m/>
    <m/>
    <m/>
    <s v="Metro"/>
    <x v="4"/>
  </r>
  <r>
    <x v="16"/>
    <d v="2022-01-20T00:00:00"/>
    <x v="617"/>
    <s v="Brooklyn Park"/>
    <s v="Hennepin"/>
    <s v="MN"/>
    <s v="Minneapolis-based Banner Engineering Corp., a global maker and distributor of sensors used in a variety of industries, has paid $18.27 million for the Boone Industrial Plaza, a 322,769-square-foot manufacturing facility on 14.95 acres at 7401 Boone Ave. in Brooklyn Park. Banner closed Dec. 15. The facility includes 24-foot clear height and 35 dock doors."/>
    <s v="MF"/>
    <n v="18270000"/>
    <m/>
    <x v="0"/>
    <n v="322769"/>
    <x v="23"/>
    <x v="1"/>
    <s v="https://finance-commerce.com/2022/01/just-sold-banner-engineering-adds-space-in-brooklyn-park/"/>
    <s v="Finance &amp; Commerce"/>
    <s v="7401 Boone Ave"/>
    <n v="55428"/>
    <n v="45.089779"/>
    <n v="-93.393782000000002"/>
    <m/>
    <m/>
    <m/>
    <m/>
    <m/>
    <m/>
    <m/>
    <m/>
    <s v="Metro"/>
    <x v="4"/>
  </r>
  <r>
    <x v="16"/>
    <d v="2022-01-21T00:00:00"/>
    <x v="618"/>
    <s v="Hopkins"/>
    <s v="Hennepin"/>
    <s v="MN"/>
    <s v="King Technology specializes in recreational water sanitizing solutions. The company has outgrown its current location in Hopkins and proposes purchasing and occupying the four-story office building at 6000 Clearwater Drive.  The building comprises 100,000 square feet of office space, plus an underground level. _x000a_The underground parking area would be converted to R&amp;D space.  DEED JCF Award: $617,000. Investment $14.5 million, 50 new jobs paying average of $42.57/hr"/>
    <s v="RD, OF"/>
    <n v="14500000"/>
    <n v="50"/>
    <x v="0"/>
    <n v="100000"/>
    <x v="28"/>
    <x v="1"/>
    <s v="https://www.minnetonkamn.gov/home/showpublisheddocument/10544"/>
    <s v="DEED, City of Minnetonka"/>
    <s v="530 11th Ave S"/>
    <n v="55343"/>
    <n v="44.915753000000002"/>
    <n v="-93.414998999999995"/>
    <s v="Government"/>
    <s v="JCF"/>
    <n v="617000"/>
    <m/>
    <m/>
    <m/>
    <m/>
    <m/>
    <s v="Metro"/>
    <x v="4"/>
  </r>
  <r>
    <x v="16"/>
    <d v="2022-01-23T00:00:00"/>
    <x v="619"/>
    <s v="Minneapolis"/>
    <s v="Hennepin"/>
    <s v="MN"/>
    <s v="Owners Tim Johnson and Mark Anderson just invested $4 million to expand their Impact printing operation on the North Side of Minneapolis. Investments were in technology (new equipment) and renovated space to expand capacity. _x000a_Impact has doubled employment to nearly 200 over the last decade through organic growth and several acquisitions, such as a marketing affiliate called Infinity Direct based in Plymouth."/>
    <s v="MF"/>
    <n v="4000000"/>
    <m/>
    <x v="0"/>
    <m/>
    <x v="42"/>
    <x v="1"/>
    <s v="https://www.startribune.com/impact-invests-in-print-plant-solar-power-in-north-minneapolis/600138815/?refresh=true"/>
    <s v="Star Tribune"/>
    <s v="4600 N Lyndale Ave"/>
    <n v="55412"/>
    <n v="45.038181000000002"/>
    <n v="-93.286517000000003"/>
    <m/>
    <m/>
    <m/>
    <m/>
    <m/>
    <m/>
    <m/>
    <m/>
    <s v="Metro"/>
    <x v="4"/>
  </r>
  <r>
    <x v="16"/>
    <d v="2022-01-24T00:00:00"/>
    <x v="316"/>
    <s v="Minneapolis"/>
    <s v="Hennepin"/>
    <s v="MN"/>
    <s v="Soona, a Minneapolis- and Denver-based same-day photo startup that makes content for e-commerce companies, closed a $35 million of funding.  The funding will be used to grow its model services, and triple the size of its platform and its engineering team in 2022. Soona's growth accelerated during the pandemic when clients embraced virtual photo shoots by participating in a shoot remotely through their device. The company has over 7,000 customers and three hubs in Austin (Texas), Denver and Minneapolis."/>
    <m/>
    <m/>
    <m/>
    <x v="0"/>
    <m/>
    <x v="19"/>
    <x v="4"/>
    <s v="https://www.bizjournals.com/twincities/inno/stories/fundings/2022/01/24/soona-photostudio-series-b.html"/>
    <s v="MSP Business Journal"/>
    <s v="320 E Hennepin Ave"/>
    <n v="55414"/>
    <n v="44.988236999999998"/>
    <n v="-93.256198999999995"/>
    <s v="Venture Capital"/>
    <m/>
    <m/>
    <m/>
    <m/>
    <m/>
    <m/>
    <m/>
    <s v="Metro"/>
    <x v="4"/>
  </r>
  <r>
    <x v="16"/>
    <d v="2022-01-31T00:00:00"/>
    <x v="99"/>
    <s v="Minneapolis"/>
    <s v="Hennepin"/>
    <s v="MN"/>
    <s v="Inspectorio just raised a $50 million in funding and will use the new funding to expand its research and development and grow its product teams, expecting to add around 100 new employees this year. Inspectorio's over 7,000 customers, including Target Corp., rely on the company's production-tracking software to prevent supply chain delays and improve on-time delivery performance. The company employs more than 200 people in the U.S., Ecuador, China, Vietnam and Belarus."/>
    <m/>
    <m/>
    <m/>
    <x v="0"/>
    <m/>
    <x v="25"/>
    <x v="9"/>
    <s v="https://www.bizjournals.com/twincities/inno/stories/fundings/2022/01/31/inspectario-series-b-supply-chain-software.html"/>
    <s v="MSP Business Journal"/>
    <s v="901 S Marquette Ave #603,"/>
    <n v="55402"/>
    <n v="44.973908000000002"/>
    <n v="-93.272418999999999"/>
    <m/>
    <m/>
    <m/>
    <m/>
    <m/>
    <m/>
    <m/>
    <m/>
    <s v="Metro"/>
    <x v="4"/>
  </r>
  <r>
    <x v="16"/>
    <d v="2022-02-01T00:00:00"/>
    <x v="620"/>
    <s v="Elk River"/>
    <s v="Sherburne"/>
    <s v="MN"/>
    <s v="Jonny Pops has 80 employees, and operates in leased industrial space in St. Louis Park. Jonny Pops bought a 80,000-square-foot food processing plant in Elk River for $6.5 million. The site will serve as their new headquarters. Jonny Pops employees are planning to move as soon as they adapt the production line and distribution process. The company is not disclosing the precise total investment in the new headquarters and production plant, but said it's eight figures. &quot;We're going to continue to invest and bring in more equipment, more employees and continue to grow,&quot;"/>
    <s v="HQ, MF"/>
    <m/>
    <m/>
    <x v="0"/>
    <n v="80000"/>
    <x v="1"/>
    <x v="1"/>
    <s v="https://finance-commerce.com/2022/02/just-sold-jonny-pops-owners-buy-elk-river-plant/"/>
    <s v="Finance &amp; Commerce"/>
    <s v="13512 Business Center Drive"/>
    <n v="55330"/>
    <n v="45.304661000000003"/>
    <n v="-93.611481999999995"/>
    <m/>
    <m/>
    <m/>
    <m/>
    <m/>
    <m/>
    <m/>
    <m/>
    <s v="Central"/>
    <x v="4"/>
  </r>
  <r>
    <x v="16"/>
    <d v="2022-02-01T00:00:00"/>
    <x v="621"/>
    <s v="Minneapolis"/>
    <s v="Hennepin"/>
    <s v="MN"/>
    <s v="Minneapolis-based advertising firm Yamamoto expanded in its North Loop building location. The agency nearly doubled from 11,300 square feet to 20,000 square feet in its new space, taking up an entire floor. &quot;We were able to renovate all the spaces we didn't really have too much access to before...&quot; The new job encompassed everything from furnishings to additional features such as a voiceover booth and photo studio."/>
    <s v="OF"/>
    <m/>
    <m/>
    <x v="0"/>
    <n v="8700"/>
    <x v="70"/>
    <x v="4"/>
    <s v="https://www.bizjournals.com/twincities/news/2022/02/01/cool-offices-yamamoto.html"/>
    <s v="MSP Business Journal"/>
    <s v="219 N. 2nd Street"/>
    <n v="55401"/>
    <n v="44.984710999999997"/>
    <n v="-93.271122000000005"/>
    <m/>
    <m/>
    <m/>
    <m/>
    <m/>
    <m/>
    <m/>
    <m/>
    <s v="Metro"/>
    <x v="4"/>
  </r>
  <r>
    <x v="16"/>
    <d v="2022-02-04T00:00:00"/>
    <x v="622"/>
    <s v="Edina"/>
    <s v="Hennepin"/>
    <s v="MN"/>
    <s v="Minneapolis-based software startup Yardstik announced Thursday it has raised $8 million in Series A funding. Yardstick offers screening, verification, and training solutions tailored to gig marketplaces and Software-as-a-Service (SaaS) platforms. The company has grown from 38 customers in 2020 to 131 customers in 2021, and it plans to use the $8 million raise to hire additional team members, continue product development, and evolve their go-to-market strategy."/>
    <m/>
    <m/>
    <m/>
    <x v="0"/>
    <m/>
    <x v="25"/>
    <x v="9"/>
    <s v="https://tcbmag.com/minneapolis-based-tech-company-yardstik-lands-8m-raise/?utm_campaign=TCB%20Sunday%20Primer&amp;utm_medium=email&amp;_hsmi=203060723&amp;_hsenc=p2ANqtz--mJHtnwTlJmH8z1Za2PwooG4NQ9p3sHKlg_CZ4TnI-rAq_XF1U5slsGwvmsV3CqUKf5lFRIEi0vhgJ65LYdZBl7TpAgg&amp;utm_content=203060723&amp;utm_source=hs_email"/>
    <s v="Twin Cities Business"/>
    <s v="4600 W 77th St #200, "/>
    <n v="55435"/>
    <n v="44.863930000000003"/>
    <n v="-93.340879999999999"/>
    <m/>
    <m/>
    <m/>
    <m/>
    <m/>
    <m/>
    <m/>
    <m/>
    <s v="Metro"/>
    <x v="4"/>
  </r>
  <r>
    <x v="16"/>
    <d v="2022-02-07T00:00:00"/>
    <x v="623"/>
    <s v="Bovey"/>
    <s v="Itasca"/>
    <s v="MN"/>
    <s v="47-93 North needed more manufacturing and storage space. Currently employs 2 FTE. Expects to add 3-5 FTE within one to two years. (and 19 new jobs within 5 years.)  Investment is n/a but taxable value of new build in first year is $1,273,275._x000a_BDPI: The city of Bovey was awarded $984,548 to construct streets and utilities to serve a new 20-acre industrial park.  47-93 North, Inc. a manufacturing and machining company will retain its current operations in Grand Rapids, and add a new location in Bovey."/>
    <m/>
    <n v="1273275"/>
    <n v="19"/>
    <x v="0"/>
    <m/>
    <x v="4"/>
    <x v="1"/>
    <s v="https://mn.gov/deed/newscenter/press-releases/?id=517530"/>
    <s v="DEED"/>
    <m/>
    <n v="55709"/>
    <n v="47.347268999999997"/>
    <n v="-93.388825999999995"/>
    <s v="Government"/>
    <s v="BDPI (same grant covers infrastructure for KMDA and 47-93N)"/>
    <n v="984548"/>
    <m/>
    <m/>
    <m/>
    <m/>
    <m/>
    <s v="North"/>
    <x v="4"/>
  </r>
  <r>
    <x v="16"/>
    <d v="2022-02-07T00:00:00"/>
    <x v="624"/>
    <s v="Bovey"/>
    <s v="Itasca"/>
    <s v="MN"/>
    <s v="KMDA, Inc. has been supplying fishing tackle retailers for over 15 years. Looking to expand, needs additional space. Cannot easily relocate, so seeking to expand at the new &quot;Red Rock Business Park&quot; in Bovey.  Investment is n/a but taxable value of new build in first year is $761,400, and add 3 FTE within one year (and 26 within 5 years)._x000a_BDPI: The city of Bovey was awarded $984,548 to construct streets and utilities to serve a new 20-acre industrial park. Expanding existing businesses in the park include KMDA."/>
    <s v="MF"/>
    <n v="761400"/>
    <n v="26"/>
    <x v="0"/>
    <m/>
    <x v="71"/>
    <x v="1"/>
    <s v="https://mn.gov/deed/newscenter/press-releases/?id=517530"/>
    <s v="DEED"/>
    <s v="505 2nd Ave,"/>
    <n v="55744"/>
    <n v="47.226863999999999"/>
    <n v="-93.525940000000006"/>
    <s v="Government"/>
    <s v="BDPI (same grant covers infrastructure for KMDA and 47-93N)"/>
    <n v="984548"/>
    <m/>
    <m/>
    <m/>
    <m/>
    <m/>
    <s v="North"/>
    <x v="4"/>
  </r>
  <r>
    <x v="16"/>
    <d v="2022-02-07T00:00:00"/>
    <x v="625"/>
    <s v="Grand Rapids"/>
    <s v="Itasca"/>
    <s v="MN"/>
    <s v="The NorthStar Pellets wood pellet plant in MN would occupy a  vacant 400,000-square-foot industrial facility and supports growing global demand for use in renewable energy market. The new company is made from a consortium of investors.  Private investment in the project is expected to be $134 million.  Economic Impact: 45 Direct Jobs / &gt; 245 Total Job Impact. $17 Million Per Year of Export Revenue • $14.7 Million in Wages and &gt;$56 Million in Annual Economic Activity_x000a_BDPI: The city of Grand Rapids was awarded $250,000 to assist with construction of utility and street extensions."/>
    <s v="MF"/>
    <n v="134000000"/>
    <n v="45"/>
    <x v="0"/>
    <m/>
    <x v="24"/>
    <x v="1"/>
    <s v="https://www.house.leg.state.mn.us/comm/docs/JB6oK3CXU024_BQCE6YFXQ.pdf"/>
    <s v="State of Minnesota Legislature"/>
    <m/>
    <n v="55730"/>
    <n v="47.239730000000002"/>
    <n v="-93.53004"/>
    <s v="Government"/>
    <s v="IRRRB ($250K), BDPI ($250K)"/>
    <n v="500000"/>
    <m/>
    <m/>
    <m/>
    <m/>
    <m/>
    <s v="North"/>
    <x v="4"/>
  </r>
  <r>
    <x v="16"/>
    <d v="2022-02-07T00:00:00"/>
    <x v="414"/>
    <s v="Bloomington"/>
    <s v="Hennepin"/>
    <s v="MN"/>
    <s v="Seagate Technology is set begin construction on a nearly 81,000-square-foot addition to its manufacturing facility in Bloomington. The two-story addition will add 45 jobs to the facility that manufactures components for hard drives. The existing facility is 730,000 sqft. Construction begins next month and is expected to be complete in July 2023. The facility includes gowning and locker room areas required for clean rooms used in the manufacture of electronics._x000a_August 2022 Update: Building permit for $73.55 million in construction."/>
    <s v="MF"/>
    <n v="73553011"/>
    <n v="45"/>
    <x v="0"/>
    <n v="81000"/>
    <x v="23"/>
    <x v="1"/>
    <s v="https://www.bizjournals.com/twincities/news/2022/02/07/seagate-bloomington-facility-expansion.html?cx_testId=40&amp;cx_testVariant=cx_46&amp;cx_artPos=9#cxrecs_s"/>
    <s v="MSP Business Journal"/>
    <s v="7801 Computer Drive,"/>
    <n v="55435"/>
    <n v="44.862687000000001"/>
    <n v="-93.345510000000004"/>
    <m/>
    <m/>
    <m/>
    <m/>
    <m/>
    <m/>
    <m/>
    <m/>
    <s v="Metro"/>
    <x v="4"/>
  </r>
  <r>
    <x v="16"/>
    <d v="2022-02-08T00:00:00"/>
    <x v="626"/>
    <s v="Brooklyn Center"/>
    <s v="Hennepin"/>
    <s v="MN"/>
    <s v="Imprint Engine provides promotional material and merchandise to clients. It is tripling the size of its headquarters due to rapid growth. Last month, the company began moving its 55 employees from a 12,000-sqft office and warehouse in St. Louis Park to a 40,000-sqft space in Brooklyn Center. In 2022, the company expects to hit $13 million in revenue, up from $7 million in 2020. In addition, Imprint is making a large investment in manufacturing equipment, which will allow the company to execute all of its orders in house."/>
    <s v="HQ MF WH"/>
    <m/>
    <m/>
    <x v="0"/>
    <n v="28000"/>
    <x v="42"/>
    <x v="1"/>
    <s v="https://www.bizjournals.com/twincities/news/2022/02/08/imprint-engine-expansion-brooklyn-center.html"/>
    <s v="MSP Business Journal"/>
    <s v="4001 Lake Breeze Ave N #400"/>
    <n v="55429"/>
    <n v="45.043011999999997"/>
    <n v="-93.332526999999999"/>
    <m/>
    <m/>
    <m/>
    <m/>
    <m/>
    <m/>
    <m/>
    <m/>
    <s v="Metro"/>
    <x v="4"/>
  </r>
  <r>
    <x v="16"/>
    <d v="2022-02-14T00:00:00"/>
    <x v="180"/>
    <s v="Cottage Grove"/>
    <s v="Washington"/>
    <s v="MN"/>
    <s v="3M is spending $165 million on water quality improvements at its Cottage Grove plant, a site that previously contaminated area ground water, the company announced Monday. The upgrades will reduce water use and better ensure clean water is released back into the environment, 3M said. Work in Cottage Grove is ongoing and should wrap up by 2024. "/>
    <m/>
    <n v="165000000"/>
    <m/>
    <x v="0"/>
    <m/>
    <x v="0"/>
    <x v="1"/>
    <s v="https://www.startribune.com/3m-plans-165m-in-water-upgrades-at-cottage-grove-plant/600146684/"/>
    <s v="Star Tribune"/>
    <s v="10746 Keats Ave S"/>
    <n v="55016"/>
    <n v="44.843822000000003"/>
    <n v="-92.903564000000003"/>
    <m/>
    <m/>
    <m/>
    <m/>
    <m/>
    <m/>
    <m/>
    <m/>
    <s v="Metro"/>
    <x v="4"/>
  </r>
  <r>
    <x v="16"/>
    <d v="2022-02-15T00:00:00"/>
    <x v="627"/>
    <s v="Coon Rapids"/>
    <s v="Anoka"/>
    <s v="MN"/>
    <s v="Vista Outdoor, which has an ammunition manufacturing facility in Anoka, wants to build a 101,404-square-foot ammunition storage building on a nearby site in Coon Rapids. The 29.4-acre Coon Rapids site allows for a “future addition” of another 100,000-square-foot building."/>
    <s v="WH"/>
    <n v="6994900"/>
    <m/>
    <x v="0"/>
    <n v="101404"/>
    <x v="72"/>
    <x v="1"/>
    <s v="https://finance-commerce.com/2022/02/vista-scannell-pitch-warehouses/"/>
    <s v="Finance &amp; Commerce"/>
    <s v="3745 Main St."/>
    <n v="55448"/>
    <n v="45.197778"/>
    <n v="-93.351592999999994"/>
    <m/>
    <m/>
    <m/>
    <m/>
    <m/>
    <m/>
    <m/>
    <m/>
    <s v="Metro"/>
    <x v="4"/>
  </r>
  <r>
    <x v="16"/>
    <d v="2022-02-22T00:00:00"/>
    <x v="628"/>
    <s v="Plymouth"/>
    <s v="Hennepin"/>
    <s v="MN"/>
    <s v="Plymouth-based Amerilab Technologies Inc., a contract manufacturer of effervescent nutritional powders and tablets, has paid $9 million for a second facility near its headquarters._x000a_Amerilab acquired a 87,153-square-foot distribution center, 2 miles southeast of its current headquarters. _x000a_Amerilab Technologies, founded in 1995 has 125 employees at its current location. "/>
    <s v="MF"/>
    <n v="9000000"/>
    <m/>
    <x v="0"/>
    <n v="87153"/>
    <x v="1"/>
    <x v="1"/>
    <s v="https://finance-commerce.com/2022/02/just-sold-amerilab-pays-9m-for-plymouth-plant/"/>
    <s v="Finance &amp; Commerce"/>
    <s v="2765 Niagara Ln N"/>
    <n v="55447"/>
    <n v="45.011685999999997"/>
    <n v="-93.472487999999998"/>
    <m/>
    <m/>
    <m/>
    <m/>
    <m/>
    <m/>
    <m/>
    <m/>
    <s v="Metro"/>
    <x v="4"/>
  </r>
  <r>
    <x v="16"/>
    <d v="2022-02-22T00:00:00"/>
    <x v="606"/>
    <m/>
    <m/>
    <s v="MN"/>
    <s v="Bizzy Coffee just raised $7.1 million as it launches a national expansion that will triple its retail footprint.  The manufacturer of cold-brew coffee will use the funds to finance new manufacturing equipment and a new state-of-the-art manufacturing facility capable of producing 25 million units per year. The facility location hasn’t been finalized, but will be in the Twin Cities and occupy at least 50,000 square feet."/>
    <s v="MF"/>
    <m/>
    <m/>
    <x v="0"/>
    <n v="50000"/>
    <x v="1"/>
    <x v="1"/>
    <s v="https://www.bizjournals.com/twincities/inno/stories/fundings/2022/02/22/bizzy-coffee-national-expansion.html"/>
    <s v="MSP Business Journal"/>
    <m/>
    <m/>
    <n v="46.316133999999998"/>
    <n v="-94.199479999999994"/>
    <m/>
    <m/>
    <m/>
    <m/>
    <m/>
    <m/>
    <m/>
    <m/>
    <s v="Unknown"/>
    <x v="4"/>
  </r>
  <r>
    <x v="16"/>
    <d v="2022-02-23T00:00:00"/>
    <x v="629"/>
    <s v="Duluth"/>
    <s v="St Louis"/>
    <s v="MN"/>
    <s v="Cirrus expects to renovate a vacant maintenance facility to triple production in the next decade. The $25 million expansion at its Duluth headquarters will create at least 80 new jobs, increasing employees to over 1,286. Cirrus is the largest single-engine aircraft manufacturer in its class. The building needs significant retrofitting investment._x000a_Assistance:  JCF (500K), MIF ($695K). Tax abatement $1.2 million from City/County, $300K from City forgivable loan._x000a_Sept 2022 Update:  Cirrus Aircraft will transform the 189,000-sq-ft building  into a state-of-the-art Duluth Innovation Center. UPDATE: Grand opening in 9/2023."/>
    <s v="MF"/>
    <n v="25000000"/>
    <n v="80"/>
    <x v="0"/>
    <n v="189000"/>
    <x v="73"/>
    <x v="1"/>
    <s v="https://www.startribune.com/cirrus-plans-duluth-expansion-with-an-eye-to-triple-production/600149792/"/>
    <s v="Star Tribune"/>
    <s v="4515 Taylor Cir,"/>
    <n v="55811"/>
    <n v="46.838329000000002"/>
    <n v="-92.203635000000006"/>
    <s v="Government"/>
    <s v="JCF (500K), MIF ($695K). Tax abatement $1.2 million from City/County, $300K from City forgivable loan"/>
    <n v="2695000"/>
    <m/>
    <m/>
    <m/>
    <m/>
    <m/>
    <s v="North"/>
    <x v="4"/>
  </r>
  <r>
    <x v="16"/>
    <d v="2022-02-23T00:00:00"/>
    <x v="630"/>
    <s v="Monticello"/>
    <s v="Wright"/>
    <s v="MN"/>
    <s v="Washburn Computer Group (WashburnPOS), a longtime Monticello business specializing in point-of-sales systems, plans to expand and create new jobs in the city. Seeking a grant from a s Job Creation Fund grant. _x000a_The company is proposing to construct a 42,000 to 50,000 square foot addition to its facility requiring $6.25 million. That would more than double the existing space and would lead to doubling its workforce from 43 employees to 87 employees. _x000a_MN DEED JCF Award $263K"/>
    <s v="WH"/>
    <n v="6250000"/>
    <n v="44"/>
    <x v="0"/>
    <n v="50000"/>
    <x v="0"/>
    <x v="10"/>
    <s v="https://www.hometownsource.com/monticello_times/community/monticello/monticello-company-plans-expansion-seeks-financial-aid/article_5dfa0ca4-94c4-11ec-8e6d-8f9e6fc2d1ce.html"/>
    <s v="Hometown Source (Monticello Times)"/>
    <s v="218 Chelsea Rd"/>
    <n v="55362"/>
    <n v="45.293306999999999"/>
    <n v="-93.786733999999996"/>
    <s v="Government"/>
    <s v="JCF"/>
    <n v="263000"/>
    <m/>
    <m/>
    <m/>
    <m/>
    <m/>
    <s v="Central"/>
    <x v="4"/>
  </r>
  <r>
    <x v="16"/>
    <d v="2022-02-24T00:00:00"/>
    <x v="631"/>
    <s v="Eden Prairie"/>
    <s v="Hennepin"/>
    <s v="MN"/>
    <s v="The 260,000-square-foot building at 11000 Viking Drive is the corporate headquarters for school picture company Lifetouch, and houses marketing and merchandising functions for both Lifetouch and Shutterfly. The property consists of a four-story &quot;West Building&quot; and a five-story &quot;East Building&quot; which are connected by a two-story &quot;link&quot; building.  Shutterfly and Lifetouch will still occupy the &quot;East Building&quot; but propose to demolish the vacant &quot;West Building&quot;, replace it a trail with native grasses and wildflowers, and renovate the &quot;link&quot; building as the new main entrance."/>
    <s v="HQ, MF"/>
    <m/>
    <m/>
    <x v="0"/>
    <m/>
    <x v="66"/>
    <x v="4"/>
    <s v="https://www.bizjournals.com/twincities/news/2022/02/24/shutterfly-lifetouch-campus-sale.html"/>
    <s v="MSP Business Journal"/>
    <s v="11000 Viking Dr Suite 400"/>
    <n v="55344"/>
    <n v="44.861035000000001"/>
    <n v="-93.415170000000003"/>
    <m/>
    <m/>
    <m/>
    <m/>
    <m/>
    <m/>
    <m/>
    <m/>
    <s v="Metro"/>
    <x v="4"/>
  </r>
  <r>
    <x v="16"/>
    <d v="2022-02-25T00:00:00"/>
    <x v="632"/>
    <s v="Clara City"/>
    <s v="Chippewa"/>
    <s v="MN"/>
    <s v="Eden Prairie-based Milk Specialties Global (MSG) bought Kay's Processing last summer. While the Kay's brand will be discontinued, MSG will grow production and employment at the Clara City facility. A third production line is planned at the 96,000-square-foot plant to increase product offerings and capabilities. MSG, which makes nutrition products for humans and animals and specializes in whey protein, is now poised to grow its &quot;extruded protein&quot; offerings. Last year the company employed about 30 people. "/>
    <s v="MF"/>
    <m/>
    <m/>
    <x v="0"/>
    <m/>
    <x v="1"/>
    <x v="1"/>
    <s v="https://www.startribune.com/kays-naturals-discontinued-months-after-sale-clara-city-plant-still-growing/600150584/"/>
    <s v="Star Tribune"/>
    <s v=" 100 1st Ave SE"/>
    <n v="56222"/>
    <n v="44.956738999999999"/>
    <n v="-95.363369000000006"/>
    <m/>
    <m/>
    <m/>
    <m/>
    <m/>
    <m/>
    <m/>
    <m/>
    <s v="Central"/>
    <x v="4"/>
  </r>
  <r>
    <x v="17"/>
    <d v="2022-02-28T00:00:00"/>
    <x v="633"/>
    <s v="Lakeville"/>
    <s v="Hennepin"/>
    <s v="MN"/>
    <s v="Apple Auto Group was issued a building permit in February to construct a new 58,550-square-foot, 2-story automotive service, repair and sales facility to be located at 7200 Lakeville Boulevard, east of U-Haul. When complete in early 2023, this location will be one of the first standalone Ford commercial vehicle service centers."/>
    <s v="Other"/>
    <m/>
    <m/>
    <x v="0"/>
    <n v="58550"/>
    <x v="5"/>
    <x v="5"/>
    <s v="https://www.lakevillemn.gov/ArchiveCenter/ViewFile/Item/1354"/>
    <m/>
    <s v="7200 Lakeville Boulevard"/>
    <n v="55044"/>
    <n v="44.642049999999998"/>
    <n v="-93.212100000000007"/>
    <m/>
    <m/>
    <m/>
    <m/>
    <m/>
    <m/>
    <m/>
    <m/>
    <s v="Metro"/>
    <x v="4"/>
  </r>
  <r>
    <x v="16"/>
    <d v="2022-03-03T00:00:00"/>
    <x v="634"/>
    <s v="Faribault"/>
    <s v="Rice"/>
    <s v="MN"/>
    <s v="Faribault Woolen Mills -- initially established in 1865, shuttered in 2009, and reopened in 2011 -- set a post-reopening sales record in 2020 and again in 2021, with sales up 70% in two years. In early 2020, the mill merged with CircleRock, an American-made men's clothing company.  In two years the mill has shifted from long-run contract manufacturing to consumer-branded products. New investments include installing a new million-dollar dryer and adding a new fleet of modern looms and a new napper, which softens wool blankets at the end of the process. "/>
    <s v="MF"/>
    <m/>
    <m/>
    <x v="0"/>
    <m/>
    <x v="46"/>
    <x v="1"/>
    <s v="https://www.startribune.com/iconic-157-year-old-faribault-woolen-mill-seeing-unprecedented-growth/600152539/"/>
    <s v="Star Tribune"/>
    <s v="1500 2nd Ave NW"/>
    <n v="55021"/>
    <n v="44.306463000000001"/>
    <n v="-93.302622999999997"/>
    <m/>
    <m/>
    <m/>
    <m/>
    <m/>
    <m/>
    <m/>
    <m/>
    <s v="South"/>
    <x v="4"/>
  </r>
  <r>
    <x v="16"/>
    <d v="2022-03-08T00:00:00"/>
    <x v="635"/>
    <s v="Otsego"/>
    <s v="Wright"/>
    <s v="MN"/>
    <s v="Modern-furniture maker Blu Dot may relocate its Otsego warehouse operations to a new 744,744‐square-foot warehouse located in the same city. The first phase constructs a 401,544-square-foot warehouse. The second later phase adds 343,200 square feet to the building. After an expansion of over 100,000 square feet around five years ago, Blu Dot currently occupies 266,264 square feet in the Gateway North Business Center. The first phase will employ 75 full-time workers once complete, while the second phase will add another 50 full-time employees."/>
    <s v="WH"/>
    <m/>
    <n v="75"/>
    <x v="0"/>
    <n v="744744"/>
    <x v="8"/>
    <x v="1"/>
    <s v="https://www.bizjournals.com/twincities/news/2022/03/08/blu-dot-plan-744000-square-foot-warehouse.html"/>
    <s v="MSP Business Journal"/>
    <s v="6301 Queens Ave NE"/>
    <n v="55330"/>
    <n v="45.243062999999999"/>
    <n v="-93.553585999999996"/>
    <m/>
    <m/>
    <m/>
    <m/>
    <m/>
    <m/>
    <m/>
    <m/>
    <s v="Central"/>
    <x v="4"/>
  </r>
  <r>
    <x v="16"/>
    <d v="2022-03-09T00:00:00"/>
    <x v="430"/>
    <s v="Golden Valley"/>
    <s v="Hennepin"/>
    <s v="MN"/>
    <s v="Branch has raised another $75 million in a Series C round of funding from private investors, allowing it to expand into more industries, double its head count and expand its new business expense management system. Its business solution  allows companies to accelerate payments to their workers. Branch plans on adding more employers by moving into fitness, hospitality and construction.  The company employs more than 120 people, with half in Minnesota. "/>
    <m/>
    <m/>
    <n v="60"/>
    <x v="0"/>
    <m/>
    <x v="25"/>
    <x v="9"/>
    <s v="https://www.startribune.com/branch-payroll-technology-company-raises-another-75m-in-private-equity/600154347/"/>
    <s v="Star Tribune"/>
    <s v="8014 Olson Memorial Hwy 55 #471"/>
    <n v="55427"/>
    <n v="44.985067000000001"/>
    <n v="-93.382441999999998"/>
    <m/>
    <m/>
    <m/>
    <m/>
    <m/>
    <m/>
    <m/>
    <m/>
    <s v="Metro"/>
    <x v="4"/>
  </r>
  <r>
    <x v="16"/>
    <d v="2022-03-10T00:00:00"/>
    <x v="636"/>
    <s v="Roseville"/>
    <s v="Ramsey"/>
    <s v="MN"/>
    <s v="Nice Healthcare, the Minneapolis-based clinic that delivers care both virtually and within patients' homes, raised $30 million to fuel its expansion into the eastern region of the U.S, and to hire more workers.  The company operates remotely, but most of the company's staff is located in Minnesota. Virtual care is delivered through the company's own smartphone app. Nice Healthcare is approaching 200 employees, most of whom are clinicians, and will most likely double in the next few years."/>
    <m/>
    <m/>
    <n v="200"/>
    <x v="0"/>
    <m/>
    <x v="40"/>
    <x v="0"/>
    <s v="https://www.startribune.com/minneapolis-based-nice-healthcare-raises-30m-to-expand-in-home-care/600154677/"/>
    <s v="Star Tribune"/>
    <s v="2355 Highway 36 West, "/>
    <n v="55113"/>
    <n v="45.012017999999998"/>
    <n v="-93.198836"/>
    <s v="Venture Capital"/>
    <m/>
    <m/>
    <m/>
    <m/>
    <m/>
    <m/>
    <m/>
    <s v="Metro"/>
    <x v="4"/>
  </r>
  <r>
    <x v="16"/>
    <d v="2022-03-10T00:00:00"/>
    <x v="637"/>
    <s v="Golden Valley"/>
    <s v="Hennepin"/>
    <s v="MN"/>
    <s v="Omnia Fishing, a Golden Valley-based e-commerce site, which also deals in fishing data, has raised $4 million to drive growth through user generated content. The recent fundraising will also go towards adding engineers to its 20-person team. Omnia sells fishing tackle to anglers based on the fish, lakes and conditions they're likely to encounter in their area. Later this year, Omnia will also move into a 30,000-square-foot warehouse in the southwest metro. (It currently operates out of a 6,000-square-foot warehouse.)"/>
    <s v="WH"/>
    <m/>
    <m/>
    <x v="0"/>
    <n v="24000"/>
    <x v="0"/>
    <x v="8"/>
    <s v="https://www.bizjournals.com/twincities/inno/stories/fundings/2022/03/10/omnia-fishing-4-million-funding-round.html"/>
    <s v="MSP Business Journal"/>
    <s v="6150 Olson Memorial Hwy"/>
    <n v="55422"/>
    <n v="44.987665999999997"/>
    <n v="-93.358109999999996"/>
    <s v="Venture Capital"/>
    <m/>
    <m/>
    <m/>
    <m/>
    <m/>
    <m/>
    <m/>
    <s v="Metro"/>
    <x v="4"/>
  </r>
  <r>
    <x v="16"/>
    <d v="2022-03-11T00:00:00"/>
    <x v="638"/>
    <s v="Arden Hills"/>
    <s v="Ramsey"/>
    <s v="MN"/>
    <s v="Colder Products Co. is expanding its Twin Cities footprint for the second time in less than a year. CPC began the build-out of a 168,000-square-foot facility being leased in Arden Hills, where 500 people will be employed by fall. _x000a_The new Arden Hills facility will have space for production, warehouse and office uses. Colder manufactures connection technologies for plastic tubing used in medical equipment and food industries. It employs around 1,200 people, in the U.S., Germany and China."/>
    <s v="MF"/>
    <m/>
    <n v="500"/>
    <x v="0"/>
    <n v="168000"/>
    <x v="4"/>
    <x v="1"/>
    <s v="https://www.bizjournals.com/twincities/news/2022/03/11/colder-products-co-expanding-twin-cities-footprin.html"/>
    <s v="MSP Business Journal"/>
    <s v="4200 Round Lake Rd. W."/>
    <n v="55113"/>
    <n v="45.104632000000002"/>
    <n v="-93.186925000000002"/>
    <m/>
    <m/>
    <m/>
    <m/>
    <m/>
    <m/>
    <m/>
    <m/>
    <s v="Metro"/>
    <x v="4"/>
  </r>
  <r>
    <x v="16"/>
    <d v="2022-03-11T00:00:00"/>
    <x v="639"/>
    <s v="Crookston"/>
    <s v="Polk"/>
    <s v="MN"/>
    <s v="DEE was acquired by Wisconsin Aluminum Foundry in March 2022. The company expects to expand into the electric vehicle EV market. Renovations to the Crookston facility are necessary to expand into the EV market, and include a new air compressor system. The total project cost is $1.6 million.  DEE currently has 72 employees.  CEO expects a 50% increase in employees at DEE by the end of the year._x000a_JCF Award approved: $175,000. _x000a_Pending MIF application $242,000."/>
    <s v="MF"/>
    <n v="1600000"/>
    <n v="36"/>
    <x v="0"/>
    <m/>
    <x v="74"/>
    <x v="1"/>
    <s v="https://www.grandforksherald.com/news/minnesota/acquisition-of-dee-inc-by-wisconsin-company-expected-to-bring-new-jobs-to-crookston"/>
    <s v="Grand Forks Herald"/>
    <s v="1302 Foskett St"/>
    <n v="56716"/>
    <n v="47.762580999999997"/>
    <n v="-96.625523000000001"/>
    <s v="Government"/>
    <s v="JCF"/>
    <n v="175000"/>
    <m/>
    <m/>
    <m/>
    <m/>
    <m/>
    <s v="North"/>
    <x v="4"/>
  </r>
  <r>
    <x v="16"/>
    <d v="2022-03-14T00:00:00"/>
    <x v="640"/>
    <s v="Red Lake Falls"/>
    <s v="Red Lake"/>
    <s v="MN"/>
    <s v="Mower manufacturer Altoz plans to expand its facility by 62,500 sqft to accommodate company growth, increase capacity and improve operational efficiency.  Expected completion is this fall. This is the first phase of a multi-phase project.  The new manufacturing facility includes state-of-the-art metal fabrication equipment and a distribution center, as well as a modern, a multi- story office building. Last year, Altoz won awards for new product innovation with its tracked stand-on mower. "/>
    <s v="MF"/>
    <n v="10300000"/>
    <n v="60"/>
    <x v="0"/>
    <n v="62500"/>
    <x v="4"/>
    <x v="1"/>
    <s v="https://www.assemblymag.com/articles/96929-altoz-to-expand-manufacturing-space-in-mn"/>
    <m/>
    <m/>
    <n v="56750"/>
    <n v="47.885347000000003"/>
    <n v="-96.270368000000005"/>
    <s v="Government"/>
    <s v="MIF"/>
    <n v="420000"/>
    <m/>
    <m/>
    <m/>
    <m/>
    <m/>
    <s v="North"/>
    <x v="4"/>
  </r>
  <r>
    <x v="16"/>
    <d v="2022-03-22T00:00:00"/>
    <x v="641"/>
    <s v="Bloomington"/>
    <s v="Hennepin"/>
    <s v="MN"/>
    <s v="Best Buy Warehouse at this address Per google website (https://stores.bestbuy.com/mn/bloomington/6203-w-111th-st-9034.html). Interior renovation to existing building.  Second level addition including new stairs and elevator.  Exterior window installation in existing concrete wall panels."/>
    <s v="WH"/>
    <n v="11000000"/>
    <m/>
    <x v="0"/>
    <m/>
    <x v="0"/>
    <x v="8"/>
    <s v="https://www.bloomingtonmn.gov/bldg/permit-status-inspection-results-monthly-building-reports"/>
    <s v="City of Bloomington"/>
    <s v="6203 W 111TH ST, BLOOMINGTON, MN 55438"/>
    <n v="55438"/>
    <n v="44.800666"/>
    <n v="-93.361986000000002"/>
    <m/>
    <m/>
    <m/>
    <m/>
    <m/>
    <m/>
    <m/>
    <m/>
    <s v="Metro"/>
    <x v="4"/>
  </r>
  <r>
    <x v="16"/>
    <d v="2022-03-23T00:00:00"/>
    <x v="642"/>
    <s v="Mankato"/>
    <s v="Blue Earth"/>
    <s v="MN"/>
    <s v="Minneapolis-based engineering firm Alliant has expanded into southern Minnesota with the opening of an office in Mankato._x000a__x000a_Alliant will serve transportation clients, with plans to eventually branch out into land development services, according to a press release. Land development services are already available in the firm’s Minneapolis and Jacksonville, Florida, offices, the company said."/>
    <s v="OF"/>
    <m/>
    <m/>
    <x v="0"/>
    <m/>
    <x v="75"/>
    <x v="4"/>
    <s v="https://finance-commerce.com/2022/03/engineering-firm-alliant-expands-to-mankato/"/>
    <s v="Finance &amp; Commerce"/>
    <s v="11 Civic Center Plaza, #202"/>
    <n v="56001"/>
    <n v="44.128324999999997"/>
    <n v="-93.978863000000004"/>
    <m/>
    <m/>
    <m/>
    <m/>
    <m/>
    <m/>
    <m/>
    <m/>
    <s v="South"/>
    <x v="4"/>
  </r>
  <r>
    <x v="16"/>
    <d v="2022-03-24T00:00:00"/>
    <x v="643"/>
    <s v="Sauk Rapids"/>
    <s v="Benton"/>
    <s v="MN"/>
    <s v="St. Cloud-based CM Group Holdings Inc., the company behind the scrapbooking brand Creative Memories, paid $5.1 million for a vacant 278,020-square-foot manufacturing plant in Sauk Rapids. _x000a_Since facing bankruptcy in 2013, CM Group Holdings Inc. has worked quietly to revive the brand with fewer than 100 employees.  The company had been leasing 31,000 square feet of space in neighboring St. Cloud and will need only a fraction of the building. Tenants will fill the remaining space. "/>
    <s v="HQ, MF WH"/>
    <m/>
    <m/>
    <x v="0"/>
    <m/>
    <x v="42"/>
    <x v="1"/>
    <s v="https://finance-commerce.com/2022/03/just-sold-creative-memories-buys-new-headquarters/"/>
    <s v="Finance &amp; Commerce"/>
    <s v="1100 Stearns Dr, "/>
    <n v="56379"/>
    <n v="45.602699000000001"/>
    <n v="-94.157898000000003"/>
    <m/>
    <m/>
    <m/>
    <m/>
    <m/>
    <m/>
    <m/>
    <m/>
    <s v="Central"/>
    <x v="4"/>
  </r>
  <r>
    <x v="16"/>
    <d v="2022-03-25T00:00:00"/>
    <x v="644"/>
    <s v="Owatonna"/>
    <s v="Steele"/>
    <s v="MN"/>
    <s v="KAMP Automation provides customized automation systems for manufacturing companies, ranging between simple turnkey machines to full assembly lines. The company plans to expand and build a 50,000 sqft facility in Owatonna.  The company will invest about $6 million and will be hiring 23 new people within two years. Company is relocating from Waseca to Owatonna. _x000a_MN DEED Awards: JCF $800K, MIF $140K"/>
    <s v="MF"/>
    <n v="6000000"/>
    <n v="23"/>
    <x v="0"/>
    <n v="50000"/>
    <x v="4"/>
    <x v="1"/>
    <s v="https://www.owatonna.gov/AgendaCenter/ViewFile/Item/4553?fileID=6974"/>
    <s v="City of Owatonna"/>
    <s v="2525 Lemond Rd"/>
    <n v="55060"/>
    <n v="44.059711"/>
    <n v="-93.264083999999997"/>
    <s v="Government"/>
    <s v="JCF ($800K), MIF ($140K)"/>
    <n v="940000"/>
    <m/>
    <m/>
    <m/>
    <m/>
    <m/>
    <s v="South"/>
    <x v="4"/>
  </r>
  <r>
    <x v="16"/>
    <d v="2022-03-25T00:00:00"/>
    <x v="645"/>
    <s v="Roseau"/>
    <s v="Roseau"/>
    <s v="MN"/>
    <s v="Polaris breaks ground on $22 million 28,000 sqft robotic paint factory in Roseau. The plant will likely open in 2024. The new plant will serve its existing manufacturing facility in the same city. The company is also actively recruiting for 100 open positions in Roseau._x000a__x000a_Although the company headquarters is now in the Twin Cities suburb of Medina, the company has had its main manufacturing facility in Roseau since it opened in 1954."/>
    <s v="MF"/>
    <n v="22000000"/>
    <n v="100"/>
    <x v="0"/>
    <n v="28000"/>
    <x v="22"/>
    <x v="1"/>
    <s v="https://www.startribune.com/polaris-breaks-ground-on-22-million-robotic-paint-factory-in-roseau/600159457/"/>
    <s v="Star Tribune"/>
    <s v="301 5th Ave SW,"/>
    <n v="56751"/>
    <n v="48.842533000000003"/>
    <n v="-95.779133000000002"/>
    <m/>
    <m/>
    <m/>
    <m/>
    <m/>
    <m/>
    <m/>
    <m/>
    <s v="North"/>
    <x v="4"/>
  </r>
  <r>
    <x v="16"/>
    <d v="2022-03-28T00:00:00"/>
    <x v="214"/>
    <s v="Bloomington"/>
    <s v="Hennepin"/>
    <s v="MN"/>
    <s v="Dispatch, a logistics tech startup, announced it has raised $50 million, which will be used to hire more employees and expand into new markets. The company is focused on growing its go-to market teams and product-engineering teams as it expands from 50 to 100 markets over the next 18 months. The company has 170 employees, but expects to be closer to 250 by the end of the year. Earlier this year, Dispatch was in the process of listing on the Australian Stock Exchange."/>
    <m/>
    <m/>
    <n v="80"/>
    <x v="0"/>
    <m/>
    <x v="3"/>
    <x v="4"/>
    <s v="https://www.bizjournals.com/twincities/inno/stories/fundings/2022/03/28/dispatch-series-c-50-million.html"/>
    <s v="MSP Business Journal"/>
    <s v=" 1401 W 94th St,"/>
    <n v="55431"/>
    <n v="44.832459999999998"/>
    <n v="-93.297618"/>
    <s v="Venture Capital"/>
    <m/>
    <m/>
    <m/>
    <m/>
    <m/>
    <m/>
    <m/>
    <s v="Metro"/>
    <x v="4"/>
  </r>
  <r>
    <x v="16"/>
    <d v="2022-03-28T00:00:00"/>
    <x v="646"/>
    <s v="Minneapolis"/>
    <s v="Hennepin"/>
    <s v="MN"/>
    <s v="Minneapolis health benefits company Gravie plans to use $75 million in fresh investment capital to expand access to its digital marketplace across the U.S. and double its employee count in the next 12 months. Gravie operates online marketplace where employers choose health plans, and offers its own health benefits plan called Comfort. Toronto-based Georgian was among the investors, giving Gravie access to its expertise in artificial intelligence and machine learning. Gravie employs about 150 people, most of them in Minneapolis."/>
    <m/>
    <m/>
    <n v="150"/>
    <x v="0"/>
    <m/>
    <x v="36"/>
    <x v="6"/>
    <s v="https://www.startribune.com/with-75m-in-fresh-capital-minneapolis-firm-plans-to-expand-its-health-benefits-plan/600160046/"/>
    <s v="Star Tribune"/>
    <s v="10 S 5th St UNIT 650"/>
    <n v="55402"/>
    <n v="44.979571999999997"/>
    <n v="-93.271890999999997"/>
    <m/>
    <m/>
    <m/>
    <m/>
    <m/>
    <m/>
    <m/>
    <m/>
    <s v="Metro"/>
    <x v="4"/>
  </r>
  <r>
    <x v="16"/>
    <d v="2022-03-28T00:00:00"/>
    <x v="647"/>
    <s v="Minneapolis"/>
    <s v="Hennepin"/>
    <s v="MN"/>
    <s v="Players Health, a Minneapolis company that created a platform that keeps track of young athletes' injuries, closed on $28 million in funding. The money will be used for hiring and developing the app.  In addition to tracking injuries and diagnosis so players do not return until it is safe for them to do so, the risk management platform created by founder and former professional football player Tyrre Burks allow athletes to document abuse and other incidents of misconduct."/>
    <m/>
    <m/>
    <m/>
    <x v="0"/>
    <m/>
    <x v="3"/>
    <x v="4"/>
    <s v="https://www.startribune.com/minneapolis-company-that-keeps-track-of-athletes-injuries-raises-28m/600160100/"/>
    <s v="Star Tribune"/>
    <s v="718 N Washington Ave Suite # 402"/>
    <n v="55415"/>
    <n v="44.977710000000002"/>
    <n v="-93.258351000000005"/>
    <m/>
    <m/>
    <m/>
    <m/>
    <m/>
    <m/>
    <m/>
    <m/>
    <s v="Metro"/>
    <x v="4"/>
  </r>
  <r>
    <x v="16"/>
    <d v="2022-03-29T00:00:00"/>
    <x v="648"/>
    <s v="Bovey"/>
    <s v="Itasca"/>
    <s v="MN"/>
    <s v="MnStar Group, which makes industrial wire harnesses, is building a 30,000-sqft facility next to its existing 24,000-sqft factory in Bovey, on the Iron Range, and should be completed by summer 2023. It is on track to double in size as it takes advantage of pandemic disruptiona of traditional supply chains._x000a_Wire harnesses are installed everywhere from in fire trucks and snowplows to farm equipment, utility trucks and boats. Currently employs 43; could reach 60 to 70 workers in 12 to 15 months. IRRRB considering $230,592 loan toward equipment purchase."/>
    <s v="MF"/>
    <m/>
    <n v="27"/>
    <x v="0"/>
    <n v="30000"/>
    <x v="4"/>
    <x v="1"/>
    <s v="https://www.startribune.com/iron-range-manufacturer-expanding-set-to-double-sales-this-year/600160476/"/>
    <s v="Star Tribune"/>
    <s v="1251 Autumn Ln"/>
    <n v="55709"/>
    <n v="47.263482000000003"/>
    <n v="-93.463611999999998"/>
    <s v="Government"/>
    <s v="IRRR"/>
    <n v="230592"/>
    <m/>
    <m/>
    <m/>
    <m/>
    <m/>
    <s v="North"/>
    <x v="4"/>
  </r>
  <r>
    <x v="16"/>
    <d v="2022-03-31T00:00:00"/>
    <x v="649"/>
    <s v="Brooten"/>
    <s v="Stearns"/>
    <s v="MN"/>
    <s v="Jennigas will be investing $5.7 million into a new 15,000 square foot facility and increasing jobs from 7 to 31. The city of Brooten was awarded $866,000 (BDPI from DEED) to assist with constructing utility extensions for a new Jennigas Meat Processing facility. The total utility extension project cost is $1,732,000. The city will fund the remaining $866,000."/>
    <s v="MF"/>
    <n v="5700000"/>
    <n v="24"/>
    <x v="0"/>
    <n v="15000"/>
    <x v="1"/>
    <x v="1"/>
    <m/>
    <s v="DEED"/>
    <s v="131 Pleasant Ave,"/>
    <n v="56316"/>
    <n v="45.501446000000001"/>
    <n v="-95.123282000000003"/>
    <s v="Government"/>
    <s v="BDPI"/>
    <n v="866000"/>
    <m/>
    <m/>
    <m/>
    <m/>
    <m/>
    <s v="Central"/>
    <x v="4"/>
  </r>
  <r>
    <x v="16"/>
    <d v="2022-03-31T00:00:00"/>
    <x v="650"/>
    <s v="Luverne"/>
    <s v="Rock"/>
    <s v="MN"/>
    <s v="Located next to the existing Premium Pork Plant, Lineage Logistics will be investing $50 million in a new 235,000 square foot cold storage facility. The company plans to create 75 jobs. The city of Luverne was awarded $467,422 to assist with extending streets and utilities within their industrial park to serve Lineage Logistics and others. Total cost of the public infrastructure project is $934,844._x000a_Update 2023: under construction, expected opening: May 2023"/>
    <s v="WH"/>
    <n v="50000000"/>
    <n v="75"/>
    <x v="0"/>
    <n v="235000"/>
    <x v="0"/>
    <x v="16"/>
    <s v="https://mn.gov/deed/newscenter/press-releases/?id=1045-525942"/>
    <s v="DEED"/>
    <s v="1174 Co Hwy 4"/>
    <n v="56156"/>
    <n v="43.642752000000002"/>
    <n v="-96.240429000000006"/>
    <s v="Government"/>
    <s v="BDPI"/>
    <n v="467422"/>
    <m/>
    <m/>
    <m/>
    <m/>
    <m/>
    <s v="South"/>
    <x v="4"/>
  </r>
  <r>
    <x v="18"/>
    <d v="2022-04-01T00:00:00"/>
    <x v="651"/>
    <s v="Cottage Grove"/>
    <s v="Washington"/>
    <s v="MN"/>
    <s v="Bayport-based Andersen Corp. has acquired the land it needs to build a 330,000-square-foot warehouse in Cottage Grove with a $2.9 million acquisition of the 19.3-acre development site. _x000a_The new building will “process materials for window construction, add warehouse storage, and provide support to supply chain disruption issues”. Ground breaking will be soon._x000a_The building will be connected to an existing 350,000-square-foot Renewal by Andersen facility, "/>
    <s v="MF, WH"/>
    <m/>
    <m/>
    <x v="0"/>
    <n v="350000"/>
    <x v="24"/>
    <x v="1"/>
    <s v="https://finance-commerce.com/2022/04/andersen-corp-pays-2-9-million-for-cottage-grove-site/"/>
    <m/>
    <s v="9900 Jamaica Ave S"/>
    <n v="55016"/>
    <n v="44.806213999999997"/>
    <n v="-92.939010999999994"/>
    <m/>
    <m/>
    <m/>
    <m/>
    <m/>
    <m/>
    <m/>
    <m/>
    <s v="Metro"/>
    <x v="4"/>
  </r>
  <r>
    <x v="18"/>
    <d v="2022-04-01T00:00:00"/>
    <x v="652"/>
    <s v="Grand Rapids"/>
    <s v="Itasca"/>
    <s v="MN"/>
    <s v="ASV Holdings engineers premium, hard-working compact track loaders &amp; skid steers. They plan to build a 60,000 sqft warehouse; other assembly layout improvements and new equipment also are part of the project. The $9.4 million project will create more than 300 new jobs. Project will be paid with private funding of more than $6.7 million; and public assistance of a $1 million IRRR loan, a $350,000 infrastructure grant, $234,000 from the city of Grand Rapids,  $186,000 from Itasca County and  $450,000 from MN DEED."/>
    <s v="MF, WH"/>
    <n v="9400000"/>
    <n v="300"/>
    <x v="0"/>
    <n v="60000"/>
    <x v="4"/>
    <x v="1"/>
    <s v="http://www.businessnorth.com/daily_briefing/asv-holdings-on-track-for-expansion/article_65ddad96-b1c9-11ec-a6e2-ab8821966a8a.html"/>
    <m/>
    <s v="840 Lily Ln,"/>
    <n v="55744"/>
    <n v="47.220570000000002"/>
    <n v="-93.507794000000004"/>
    <s v="Government"/>
    <s v="$1 million loan (IRRR). a $350,000 infrastructure grant (IRRR). $234,000 (City of Grand Rapids), $186,000 ( Itasca County), $850K JCF and $450K MIF from DEED mentioned in Article=MIF appl. Outcome was $850K JCF)"/>
    <n v="2720000"/>
    <m/>
    <m/>
    <m/>
    <m/>
    <m/>
    <s v="North"/>
    <x v="4"/>
  </r>
  <r>
    <x v="18"/>
    <d v="2022-04-01T00:00:00"/>
    <x v="653"/>
    <s v="Hibbing"/>
    <s v="St Louis"/>
    <s v="MN"/>
    <s v="Detroit Diesel Remanufacturing in Hibbing plans a 60,000 square-foot expansion at a cost of $17.5 million. The project will double the company's production space and will create 18 new jobs. DDR will remanufacture Electric Vehicle (EV) batteries and other Hybrid Vehicle (HV) products in support of the EV business of German parent company Daimler Truck North America._x000a_Public assistance: IRRR Board/Chisholm-Hibbing Airport Authority (CHAA), Hibbing: $10 million loan and $500,000 infrastructure grant. "/>
    <s v="MF"/>
    <n v="17500000"/>
    <n v="18"/>
    <x v="0"/>
    <n v="60000"/>
    <x v="4"/>
    <x v="1"/>
    <s v="https://carabiner.news/companies-communities-and-out-of-doors-recreation-in-ne-mn-obtain-over-15-6-million-in-financial-growth-funding-enterprise/"/>
    <m/>
    <s v="11038 MN-37"/>
    <n v="55746"/>
    <n v="47.392319000000001"/>
    <n v="-92.842301000000006"/>
    <s v="Government"/>
    <s v="A $10 million loan (IRRR), $500,000 infrastructure grant (applied),  $5 million loan (DEED, applied)"/>
    <n v="15500000"/>
    <m/>
    <s v="Daimler Truck North America."/>
    <m/>
    <m/>
    <s v="Germany"/>
    <s v="North"/>
    <x v="4"/>
  </r>
  <r>
    <x v="18"/>
    <d v="2022-04-01T00:00:00"/>
    <x v="654"/>
    <s v="Red Wing"/>
    <s v="Goodhue"/>
    <s v="MN"/>
    <s v="Food Service Specialties to add 3 tanks, costing $1.2 million.  Food Service Specialties – makers of custom tomato and dairy-based sauces – are upgrading their operations by adding three liquid ingredient tanks for better storage. Over the years, the business expanded to specialize in different types of tomato and dairy-based sauces for restaurants, frozen food manufacturers and retail grocery stores. Construction is expected to be complete by June 1."/>
    <s v="MF"/>
    <n v="1200000"/>
    <m/>
    <x v="0"/>
    <m/>
    <x v="1"/>
    <x v="1"/>
    <s v="https://www.republicaneagle.com/business/food-service-specialties-to-add-3-tanks-costing-1-2-million/article_0b8d5120-b1ce-11ec-a65f-47d9e3c8274a.html"/>
    <s v="Republican Eagle"/>
    <s v="5202 Moundview Dr"/>
    <n v="55066"/>
    <n v="44.570597999999997"/>
    <n v="-92.635468000000003"/>
    <m/>
    <m/>
    <m/>
    <m/>
    <m/>
    <m/>
    <m/>
    <m/>
    <s v="South"/>
    <x v="4"/>
  </r>
  <r>
    <x v="18"/>
    <d v="2022-04-04T00:00:00"/>
    <x v="655"/>
    <s v="Minneapolis"/>
    <s v="Hennepin"/>
    <s v="MN"/>
    <s v="Buro Happold, a U.K.-based design firm, has expanded its U.S. presence with five new offices -- including Minneapolis -- to now across 12 key U.S. cities. Adding to Buro Happold’s diverse staff of over 300 employees—ranging from engineers and architects to planners, economists, urban designers, and real estate professionals—the new expansion is focused on adding capacities sought after by a wide range of prominent clients."/>
    <s v="OF"/>
    <m/>
    <m/>
    <x v="0"/>
    <m/>
    <x v="76"/>
    <x v="4"/>
    <s v="https://www.constructionspecifier.com/u-k-design-firm-expands-u-s-footprint-with-five-new-offices/"/>
    <m/>
    <m/>
    <n v="55401"/>
    <n v="44.984577000000002"/>
    <n v="-93.269097000000002"/>
    <m/>
    <m/>
    <m/>
    <s v="x"/>
    <s v="Buro Happold"/>
    <m/>
    <m/>
    <s v="U.K."/>
    <s v="Metro"/>
    <x v="4"/>
  </r>
  <r>
    <x v="18"/>
    <d v="2022-04-05T00:00:00"/>
    <x v="656"/>
    <s v="St Louis Park"/>
    <s v="Hennepin"/>
    <s v="MN"/>
    <s v="London-based Marex, a global financial-services firm specializing in commodities markets, has opened a Minneapolis office that will focus on agricultural products. Dan Hofstad and Charlie Fee will lead the office for Marex and oversee the continued growth of the company's over-the-counter commodities offerings in the U.S. The Minneapolis office will be the hub from which the over-the-counter commodities arm of the company, Marex Solutions, will introduce a new North American dairy line."/>
    <s v="OF"/>
    <m/>
    <m/>
    <x v="0"/>
    <m/>
    <x v="50"/>
    <x v="6"/>
    <s v="https://www.bizjournals.com/twincities/news/2022/04/05/former-cargill-executives-open-minneapolis-marex.html"/>
    <m/>
    <s v="5401 Gamble Drive"/>
    <n v="55416"/>
    <n v="44.964787000000001"/>
    <n v="-93.348395999999994"/>
    <m/>
    <m/>
    <m/>
    <m/>
    <s v="Marex"/>
    <s v="London"/>
    <m/>
    <s v="U.K."/>
    <s v="Metro"/>
    <x v="4"/>
  </r>
  <r>
    <x v="18"/>
    <d v="2022-04-14T00:00:00"/>
    <x v="657"/>
    <s v="Minneapolis"/>
    <s v="Hennepin"/>
    <s v="MN"/>
    <s v="Taft Stettinius &amp; Hollister, a legal firm in downtown Minneapolis, signed a lease for about 16,000 square feet, which is in addition to the 93,500 sqft the firm has on floors 22 through 25. The firm is adding the space because its headcount is up and its attorneys are in the office more than most firms. Justin Weinberg, partner-in-charge of Taft’s Minneapolis office, said_x000a_ the firm could add another six to 10 lawyers, to the current count of 140 lawyers, by the end of 2022."/>
    <s v="OF"/>
    <m/>
    <n v="10"/>
    <x v="0"/>
    <n v="16000"/>
    <x v="17"/>
    <x v="4"/>
    <s v="https://www.bizjournals.com/twincities/news/2022/04/14/taft-stettinius-hollister-ids-center.html"/>
    <m/>
    <s v="80 S. Eighth St. "/>
    <n v="55402"/>
    <n v="44.975901999999998"/>
    <n v="-93.272092999999998"/>
    <m/>
    <m/>
    <m/>
    <m/>
    <m/>
    <m/>
    <m/>
    <m/>
    <s v="Metro"/>
    <x v="4"/>
  </r>
  <r>
    <x v="18"/>
    <d v="2022-04-16T00:00:00"/>
    <x v="658"/>
    <s v="Grand Rapids"/>
    <s v="Itasca"/>
    <s v="MN"/>
    <s v="Reynolds Manufacturing &amp; Reynolds Enterprises, LLC, Grand Rapids is acquiring Northland Machine's assets and real estate in Grand Rapids. Seven to nine new jobs are projected.  The new owner will retain existing staff and meet demand for precision machined parts. Total project investment: $19,502,567. IRRR Board approved $1,010,000 in loans (two loans:  $450,000 loan and a $560,000 loan) to Reynolds Manufacturing."/>
    <m/>
    <n v="19502567"/>
    <n v="9"/>
    <x v="0"/>
    <m/>
    <x v="4"/>
    <x v="1"/>
    <s v="https://carabiner.news/companies-communities-and-out-of-doors-recreation-in-ne-mn-obtain-over-15-6-million-in-financial-growth-funding-enterprise/"/>
    <m/>
    <m/>
    <n v="55730"/>
    <n v="47.239730000000002"/>
    <n v="-93.53004"/>
    <s v="Government"/>
    <s v="IRRB"/>
    <n v="1010000"/>
    <m/>
    <m/>
    <m/>
    <m/>
    <m/>
    <s v="North"/>
    <x v="4"/>
  </r>
  <r>
    <x v="18"/>
    <d v="2022-04-19T00:00:00"/>
    <x v="578"/>
    <s v="Rochester"/>
    <s v="Olmsted"/>
    <s v="MN"/>
    <s v="Mayo Clinic is investing $49 million to expand its large commercial lab in Rochester. The investment supports the ongoing investment in patient care. Construction will create new space for five clinical labs as well as room for Mayo Clinic Biopharma Diagnostics, a service used by biopharmaceutical companies. Construction for the project has started and will continue through 2025. The expansion will allow several clinical laboratories relocating from Mayo's downtown campus to expand."/>
    <s v="RD (Lab)"/>
    <n v="49000000"/>
    <m/>
    <x v="0"/>
    <m/>
    <x v="40"/>
    <x v="0"/>
    <s v="https://www.startribune.com/mayo-clinic-investing-49-million-to-expand-lab-operation-in-rochester/600166088/"/>
    <m/>
    <s v="3050 Superior Dr NW"/>
    <n v="55905"/>
    <n v="44.056727000000002"/>
    <n v="-92.525408999999996"/>
    <m/>
    <m/>
    <m/>
    <m/>
    <m/>
    <m/>
    <m/>
    <m/>
    <s v="South"/>
    <x v="4"/>
  </r>
  <r>
    <x v="18"/>
    <d v="2022-04-22T00:00:00"/>
    <x v="659"/>
    <s v="Elk River"/>
    <s v="Sherburne"/>
    <s v="MN"/>
    <s v="Cargill broke ground this week on a $50 million project to expand and renovate its R&amp;D facility in Elk River. The Elk River Animal Nutrition Innovation Center employs around 110 people. The updates include a new laboratory and other upgrades. Construction is to be completed in spring 2023.  Elk River is one of five global innovation centers, serving as a hub of the company’s global network of 15 animal nutrition research and technology application centers and the analytical hub for the North American business."/>
    <s v="R&amp;D"/>
    <n v="50000000"/>
    <m/>
    <x v="0"/>
    <m/>
    <x v="1"/>
    <x v="1"/>
    <s v="https://tcbmag.com/cargill-invests-50m-in-elk-river-facility-upgrades/"/>
    <m/>
    <s v="10383 165th Ave NW"/>
    <n v="55330"/>
    <n v="45.274175999999997"/>
    <n v="-93.527265"/>
    <m/>
    <m/>
    <m/>
    <m/>
    <m/>
    <m/>
    <m/>
    <m/>
    <s v="Central"/>
    <x v="4"/>
  </r>
  <r>
    <x v="18"/>
    <d v="2022-04-22T00:00:00"/>
    <x v="660"/>
    <s v="Little Falls"/>
    <s v="Morrison"/>
    <s v="MN"/>
    <s v="Lakeshirts LLC will be expanding in Little Falls. Lakeshirts is headquartered in Detroit Lakes, and opened the facility in Little Falls late in 2021. About 70 people work at the Little Falls facility, which operates in a space of 75,000 square feet.  The project will increase staffing to 160 - 180 employees within the next two years. Significant investment of $2.1 million in equipment will add 18 printing machines (9 currently) and 16 embroidery machines (8 currently). MN DEED award: MIF $450K "/>
    <m/>
    <n v="2148000"/>
    <n v="110"/>
    <x v="0"/>
    <m/>
    <x v="46"/>
    <x v="1"/>
    <s v="https://www.hometownsource.com/morrison_county_record/news/little-falls-city-council-approves-mif-application-for-lakeshirts/article_358539c4-c1f6-11ec-9153-b311a89f17b3.html"/>
    <m/>
    <s v="609 13th Avenue NE Unit #LF22"/>
    <n v="56345"/>
    <n v="45.991349"/>
    <n v="-94.348960000000005"/>
    <s v="Government"/>
    <s v="MIF"/>
    <n v="450000"/>
    <m/>
    <m/>
    <m/>
    <m/>
    <m/>
    <s v="Central"/>
    <x v="4"/>
  </r>
  <r>
    <x v="18"/>
    <d v="2022-04-25T00:00:00"/>
    <x v="661"/>
    <s v="Osseo"/>
    <s v="Hennepin"/>
    <s v="MN"/>
    <s v="The ADS Group and its music and film division, Copycats Media, are establishing Minnesota's first vinyl record pressing plant in the Twin Cities. They will outfit a 65,000-sq-ft facility in Osseo with five record presses. ADS expects to get the first two presses from Sweden in June and that Copycats will start pressing vinyl records in the fall. Copycats specializes in CD and DVD duplication and related services to  the music and film industry.  It currently outsources vinyl records production to a manufacturer in New Jersey."/>
    <s v="MF"/>
    <m/>
    <m/>
    <x v="0"/>
    <n v="65000"/>
    <x v="23"/>
    <x v="1"/>
    <s v="https://www.bizjournals.com/twincities/news/2022/04/25/copycats-ads-group-vinyl-record-pressing-plant.html"/>
    <m/>
    <m/>
    <n v="55311"/>
    <n v="45.124262999999999"/>
    <n v="-93.499583000000001"/>
    <m/>
    <m/>
    <m/>
    <m/>
    <m/>
    <m/>
    <m/>
    <m/>
    <s v="Metro"/>
    <x v="4"/>
  </r>
  <r>
    <x v="18"/>
    <d v="2022-04-26T00:00:00"/>
    <x v="607"/>
    <s v="Saint Paul"/>
    <s v="Ramsey"/>
    <s v="MN"/>
    <s v="JustiFi, an embedded fintech platform for vertical software-as-a-service companies, raised $4 million more in seed funding, St Paul-based JustiFi helps its clients manage payments all the way from transaction through bank transfer. Its suite of payment, banking and fintech tools work with an AI decision engine to find the lowest transaction fees in order to maximize revenue. It's also rolling out a &quot;human-powered&quot; platform. JustiFi has 24 employees and  is currently hiring in all departments."/>
    <m/>
    <m/>
    <m/>
    <x v="0"/>
    <m/>
    <x v="25"/>
    <x v="9"/>
    <s v="https://www.bizjournals.com/twincities/inno/stories/fundings/2022/04/26/justifi-seed-round-crosslink-capital.html?utm_source=st&amp;utm_medium=en&amp;utm_campaign=inno&amp;ana=e_n&amp;utm_content=mn"/>
    <m/>
    <s v="550 Vandalia St Suite 105"/>
    <n v="55114"/>
    <n v="44.957984000000003"/>
    <n v="-93.191218000000006"/>
    <m/>
    <m/>
    <m/>
    <m/>
    <m/>
    <m/>
    <m/>
    <m/>
    <s v="Metro"/>
    <x v="4"/>
  </r>
  <r>
    <x v="18"/>
    <d v="2022-04-26T00:00:00"/>
    <x v="394"/>
    <s v="Saint Paul"/>
    <s v="Ramsey"/>
    <s v="MN"/>
    <s v="Minnetronix Medical renovated its 155,000-sq-ft office and manufacturing facility in 2021. Now Minnetronix is adding another 30,000 sqft to its facilities. Over the past year, Minnetronix has onboarded over 100 employees and is on pace to grow revenue by over 20%.  This is one of five expansions in the industrial park along Energy Park Drive.  A next phase could expand an existing three-story office building. Company revenue in 2020 was $100 million and it had 500 employees."/>
    <s v="MF"/>
    <m/>
    <m/>
    <x v="0"/>
    <n v="30000"/>
    <x v="11"/>
    <x v="1"/>
    <s v="https://www.bizjournals.com/twincities/news/2022/04/26/minnetronix-medical-saint-paul-headquarters.html?utm_source=st&amp;utm_medium=en&amp;utm_campaign=OT&amp;utm_content=mn&amp;ana=e_mn_OT&amp;j=27498850&amp;senddate=2022-04-26"/>
    <m/>
    <s v="1635 Energy Park Dr,"/>
    <n v="55108"/>
    <n v="44.972749999999998"/>
    <n v="-93.168999999999997"/>
    <m/>
    <m/>
    <m/>
    <m/>
    <m/>
    <m/>
    <m/>
    <m/>
    <s v="Metro"/>
    <x v="4"/>
  </r>
  <r>
    <x v="18"/>
    <d v="2022-04-27T00:00:00"/>
    <x v="662"/>
    <s v="Bloomington"/>
    <s v="Hennepin"/>
    <s v="MN"/>
    <s v="Delta Air Lines has signed a lease for less than 80,000 square feet in the Normandale Lake Office Park's 8400 Tower in Bloomington. Delta Air Lines’ Minneapolis Tech Hub employs 600 people and is an important facility for the air travel giant. It’s one of three major locations globally that supports Delta’s ground and in-flight crews and operations. _x000a_Update June 2022: Building permits covering 40,000 sq ft. Project called &quot;Delta Tech Hub&quot;_x000a_July 2024: finished cost $8.5 million, final size 89,961 sqft"/>
    <s v="OF"/>
    <n v="8500000"/>
    <m/>
    <x v="0"/>
    <n v="89961"/>
    <x v="0"/>
    <x v="3"/>
    <s v="https://www.bizjournals.com/twincities/news/2022/04/26/delta-air-lines-signs-normandale-lake-lease.html"/>
    <m/>
    <s v="8400 Normandale Blvd"/>
    <n v="55437"/>
    <n v="44.851387000000003"/>
    <n v="-93.350631000000007"/>
    <m/>
    <m/>
    <m/>
    <m/>
    <m/>
    <m/>
    <m/>
    <m/>
    <s v="Metro"/>
    <x v="4"/>
  </r>
  <r>
    <x v="18"/>
    <d v="2022-04-28T00:00:00"/>
    <x v="663"/>
    <s v="Delano"/>
    <s v="Wright"/>
    <s v="MN"/>
    <s v="Perham-based NutriSource is expanding its pet food manufacturing footprint in Delano. The company just completed a $20 million, 45,000-sq-ft wet food cannery inside the Tuffy’s Treats Co. manufacturing facility. NutriSource expects to add 45 new full-time jobs and produce up to 65 million cans of pet food a year as a result.  Wet food is only produced at Tuffy’s plant in Delano, whereas Dry kibbles are produced at the Perham facility."/>
    <s v="MF"/>
    <n v="20000000"/>
    <n v="45"/>
    <x v="0"/>
    <n v="45000"/>
    <x v="1"/>
    <x v="1"/>
    <s v="https://tcbmag.com/pet-food-maker-nutrisource-launches-20m-expansion-in-delano/?utm_campaign=TCB%20Briefcase&amp;utm_medium=email&amp;_hsmi=211468699&amp;_hsenc=p2ANqtz--e0S4TvKMBEGnI0KVqfGe5ey7gnsDN-BKUFNnWODNjAWIiBEt6VtJw7xxlB1VIS9EL6SEqZgnhdzs3fo58Ai8dV5KrXA&amp;utm_content=211468699&amp;utm_source=hs_email"/>
    <m/>
    <s v="1141 McKinley Pkwy"/>
    <n v="55328"/>
    <n v="45.061709"/>
    <n v="-93.809645000000003"/>
    <m/>
    <m/>
    <m/>
    <m/>
    <m/>
    <m/>
    <m/>
    <m/>
    <s v="Central"/>
    <x v="4"/>
  </r>
  <r>
    <x v="18"/>
    <d v="2022-04-29T00:00:00"/>
    <x v="664"/>
    <s v="Minneapolis"/>
    <s v="Hennepin"/>
    <s v="MN"/>
    <s v="Allina Health will build a new Surgical and Critical Care Pavilion on the Abbott Northwestern Hospital campus in Minneapolis._x000a_The 10-story, 500,000 sq ft building will be built in the middle of the hospital campus, replacing the hospital’s existing operating rooms. The new building will be LEED certified in alignment with Allina Health’s commitment to environmental sustainability. Construction is expected to begin in late 2022 or early 2023. "/>
    <s v="HC"/>
    <m/>
    <m/>
    <x v="0"/>
    <n v="500000"/>
    <x v="40"/>
    <x v="0"/>
    <s v="https://www.allinahealth.org/about-us/newsroom/2022/allina-health-names-mortenson-as-general-contractor-for-new-building-on-abbott-northwestern-campus"/>
    <m/>
    <s v="800 E 28th St"/>
    <n v="55407"/>
    <n v="44.954582000000002"/>
    <n v="-93.261308999999997"/>
    <m/>
    <m/>
    <m/>
    <m/>
    <m/>
    <m/>
    <m/>
    <m/>
    <s v="Metro"/>
    <x v="4"/>
  </r>
  <r>
    <x v="18"/>
    <d v="2022-04-30T00:00:00"/>
    <x v="665"/>
    <s v="Coon Rapids"/>
    <s v="Anoka"/>
    <s v="MN"/>
    <s v="NAMSA provides medical-device testing and consulting. Construction permit for commercial addition/remodel at 8945 Evergreen and 9055 Evergreen, with total combined valuation of $10,360,000. From Coon Rapids Quarterly Economic Development Report, 2022-Q1"/>
    <s v="R&amp;D"/>
    <n v="10360000"/>
    <m/>
    <x v="0"/>
    <m/>
    <x v="9"/>
    <x v="4"/>
    <s v="https://www.coonrapidsmn.gov/ArchiveCenter/ViewFile/Item/1151"/>
    <s v="City of Coon Rapids"/>
    <s v="8945 Evergreen Blvd"/>
    <n v="55433"/>
    <n v="45.133315000000003"/>
    <n v="-93.274990000000003"/>
    <m/>
    <m/>
    <m/>
    <m/>
    <m/>
    <m/>
    <m/>
    <m/>
    <s v="Metro"/>
    <x v="4"/>
  </r>
  <r>
    <x v="18"/>
    <d v="2022-05-03T00:00:00"/>
    <x v="666"/>
    <s v="Saint Paul"/>
    <s v="Ramsey"/>
    <s v="MN"/>
    <s v="Russ Davis Wholesale purchased a 89,718-square-foot Class B building at 653 Rice St. for $10.55 million. Russ Davis Wholesale distributes produce in 10 Midwestern states. The company is owned by its more than 800 employees, who serve clients through five distribution centers in three states. It sells fruit, vegetables, deli items, dips and salsa under the Crazy Fresh brand. (The building was previosly used by Urban Organics but closed in 2019.)"/>
    <s v="DW"/>
    <n v="10550000"/>
    <m/>
    <x v="0"/>
    <n v="89718"/>
    <x v="0"/>
    <x v="10"/>
    <s v="https://finance-commerce.com/2022/05/just-sold-produce-wholesaler-buys-st-paul-warehouse/"/>
    <m/>
    <s v=" 653 Rice St."/>
    <n v="55103"/>
    <n v="44.960968000000001"/>
    <n v="-93.106217999999998"/>
    <m/>
    <m/>
    <m/>
    <m/>
    <m/>
    <m/>
    <m/>
    <m/>
    <s v="Metro"/>
    <x v="4"/>
  </r>
  <r>
    <x v="18"/>
    <d v="2022-05-04T00:00:00"/>
    <x v="667"/>
    <s v="Rogers"/>
    <s v="Hennepin"/>
    <s v="MN"/>
    <s v="South Africa-based plastic recycler Myplas is establishing its North American headquarters in Rogers. Myplas will open a $24 million 170,000-square-foot plastics recycling plant in Rogers._x000a_Several major Minnesota companies are investing a combined $9.2 million in the Myplas plant and will incorporate the recycled plastic in their products and supply chains. The state is also contributing $1.4 million in loans and grants. The plant will employ up to 300 people. Update: construction underway in 2023, opened in Dec 2023."/>
    <s v="MF"/>
    <n v="24000000"/>
    <n v="300"/>
    <x v="0"/>
    <n v="170000"/>
    <x v="57"/>
    <x v="1"/>
    <s v="https://www.startribune.com/minnesota-businesses-team-up-to-bring-plastic-film-recycling-to-state/600170359/"/>
    <m/>
    <s v="19850 S Diamond Lake Rd"/>
    <n v="55374"/>
    <n v="45.199407999999998"/>
    <n v="-93.530896999999996"/>
    <s v="Government"/>
    <s v="JCF ($450K), MIF ($1M)"/>
    <n v="1450000"/>
    <s v="x"/>
    <s v="Myplas"/>
    <m/>
    <m/>
    <s v="South Africa"/>
    <s v="Metro"/>
    <x v="4"/>
  </r>
  <r>
    <x v="18"/>
    <d v="2022-05-06T00:00:00"/>
    <x v="668"/>
    <s v="Minneapolis"/>
    <s v="Hennepin"/>
    <s v="MN"/>
    <s v="Canteen One signed a sublease for around 44,000 square feet in Minneapolis' North Loop neighborhood. The company will relocate more than 200 employees from Golden Valley to its new space at the start of 2023.  Canteen One is the national account manager for Canteen, which is a unit of Charlotte-based Compass Group North America and provides convenient food and drink options in vending machines, small markets, pantries and more.  Canteen's vending operation also has an office in the Twin Cities. "/>
    <s v="WH?"/>
    <m/>
    <m/>
    <x v="0"/>
    <m/>
    <x v="77"/>
    <x v="7"/>
    <s v="https://www.bizjournals.com/twincities/news/2022/05/06/canteen-one-signs-north-loop-lease.html"/>
    <m/>
    <s v="700 N. Fifth St."/>
    <n v="55401"/>
    <n v="44.985881999999997"/>
    <n v="-93.280688999999995"/>
    <m/>
    <m/>
    <m/>
    <m/>
    <m/>
    <m/>
    <m/>
    <m/>
    <s v="Metro"/>
    <x v="4"/>
  </r>
  <r>
    <x v="18"/>
    <d v="2022-05-09T00:00:00"/>
    <x v="669"/>
    <s v="Eden Prairie"/>
    <s v="Hennepin"/>
    <s v="MN"/>
    <s v="Accounting firm Boulay, one of the largest such firms in the Twin Cities, is moving headquarters within Eden Prairie. They are looking at adding 40 to 50 people.  The firm is looking nationally for people and letting them work remote._x000a_Boulay is moving headquarters from about 33,000 sqft at 7500 Flying Could Drive to 36,000 sqft at One Southwest Crossing, in November. The new space will have more collaboration areas and better facilities for client-facing operations, Johnson said. "/>
    <s v="OF"/>
    <m/>
    <n v="50"/>
    <x v="0"/>
    <n v="3000"/>
    <x v="34"/>
    <x v="4"/>
    <s v="https://www.bizjournals.com/twincities/news/2022/05/09/boulay-names-new-ceo-moving-headquarters.html"/>
    <m/>
    <s v="11095 Viking Drive"/>
    <n v="55344"/>
    <n v="44.861947000000001"/>
    <n v="-93.418305000000004"/>
    <m/>
    <m/>
    <m/>
    <m/>
    <m/>
    <m/>
    <m/>
    <m/>
    <s v="Metro"/>
    <x v="4"/>
  </r>
  <r>
    <x v="18"/>
    <d v="2022-05-09T00:00:00"/>
    <x v="71"/>
    <s v="Rogers"/>
    <s v="Hennepin"/>
    <s v="MN"/>
    <s v="Doosan Bobcat will open a $13 million construction equipment plant in Rogers before year's end and add more than 100 workers._x000a_Doosan Bobcat, the maker of compact skid steer loaders and other construction equipment, will lease and renovate a 225,000-square-foot building 19850 Diamond Lake Road S. The new plant, Bobcat's third location in Minnesota, will produce electrical harnesses and other subassembly units for skid steer engines, cabs and tailgates. "/>
    <s v="MF"/>
    <n v="13000000"/>
    <n v="100"/>
    <x v="0"/>
    <n v="225000"/>
    <x v="4"/>
    <x v="1"/>
    <s v="https://www.startribune.com/bobcat-plans-13m-plant-in-rogers-will-hire-more-than-100-workers/600171708/"/>
    <m/>
    <s v="19850 Diamond Lake Road S. "/>
    <n v="55374"/>
    <n v="45.199407999999998"/>
    <n v="-93.530896999999996"/>
    <m/>
    <m/>
    <m/>
    <s v="x"/>
    <s v="Doosan"/>
    <m/>
    <m/>
    <s v="Korea"/>
    <s v="Metro"/>
    <x v="4"/>
  </r>
  <r>
    <x v="18"/>
    <d v="2022-05-11T00:00:00"/>
    <x v="670"/>
    <s v="Rosemount"/>
    <s v="Dakota"/>
    <s v="MN"/>
    <s v="Flint Hills Resources plans to begin construction in May of a $75 million solar installation to help power the company’s Pine Bend Refinery in Rosemount. The  project is the largest of its kind in the U.S. The 45-megawatt 100,000-panel installation will occupy about 300 acres next to the Pine Bend complex and will improve operational efficiencies. Project completion is summer 2023. The installation will generate enough power to satisfy 30% of the refinery’s power needs."/>
    <s v="MF"/>
    <n v="75000000"/>
    <m/>
    <x v="0"/>
    <m/>
    <x v="78"/>
    <x v="1"/>
    <s v="https://finance-commerce.com/2022/05/flint-hills-to-build-75m-solar-array-in-rosemount/"/>
    <m/>
    <s v="12555 Clark Rd"/>
    <n v="55068"/>
    <n v="44.764335000000003"/>
    <n v="-93.039353000000006"/>
    <m/>
    <m/>
    <m/>
    <m/>
    <m/>
    <m/>
    <m/>
    <m/>
    <s v="Metro"/>
    <x v="4"/>
  </r>
  <r>
    <x v="18"/>
    <d v="2022-05-16T00:00:00"/>
    <x v="671"/>
    <s v="Edina"/>
    <s v="Hennepin"/>
    <s v="MN"/>
    <s v="A newly renovated building in an Edina office campus, called “The E,” has secured its first tenants. Equipment finance firm Mitsubishi HC Capital America has signed a lease for the newly renovated building. Mitsubishi HC Capital America, which is a subsidiary of Tokyo-based Mitsubishi HC Capital Inc., signed a lease for over 17,000 square feet in the building. Mitsubishi HC was impressed with the collaborative spaces, building design, location and its numerous amenities"/>
    <m/>
    <m/>
    <m/>
    <x v="0"/>
    <n v="17000"/>
    <x v="50"/>
    <x v="6"/>
    <s v="https://www.bizjournals.com/twincities/news/2022/05/12/renovated-edina-office-campus-opens-signs-tenants.html?utm_source=st&amp;utm_medium=en&amp;utm_campaign=ae&amp;utm_content=mn&amp;ana=e_mn_ae&amp;j=27694042&amp;senddate=2022-05-12"/>
    <m/>
    <s v="7151 Metro Blvd"/>
    <n v="55439"/>
    <n v="44.874363000000002"/>
    <n v="-93.352233999999996"/>
    <m/>
    <m/>
    <m/>
    <m/>
    <s v="Mitsubishi HC Capital"/>
    <m/>
    <s v="Tokyo"/>
    <s v="Japan"/>
    <s v="Metro"/>
    <x v="4"/>
  </r>
  <r>
    <x v="18"/>
    <d v="2022-05-16T00:00:00"/>
    <x v="92"/>
    <s v="Edina"/>
    <s v="Hennepin"/>
    <s v="MN"/>
    <s v="A newly renovated building in an Edina office campus, called “The E,” has secured its first tenants. Medical device company Relievant Medsystems has signed a lease for almost 13,000 square feet in  the newly renovated building. "/>
    <s v="MF"/>
    <m/>
    <m/>
    <x v="0"/>
    <n v="13000"/>
    <x v="11"/>
    <x v="1"/>
    <s v="https://www.bizjournals.com/twincities/news/2022/05/12/renovated-edina-office-campus-opens-signs-tenants.html?utm_source=st&amp;utm_medium=en&amp;utm_campaign=ae&amp;utm_content=mn&amp;ana=e_mn_ae&amp;j=27694042&amp;senddate=2022-05-12"/>
    <m/>
    <s v="7151 Metro Blvd"/>
    <n v="55439"/>
    <n v="44.874363000000002"/>
    <n v="-93.352233999999996"/>
    <m/>
    <m/>
    <m/>
    <m/>
    <m/>
    <m/>
    <m/>
    <m/>
    <s v="Metro"/>
    <x v="4"/>
  </r>
  <r>
    <x v="18"/>
    <d v="2022-05-17T00:00:00"/>
    <x v="672"/>
    <s v="Minneapolis"/>
    <s v="Hennepin"/>
    <s v="MN"/>
    <s v="Greenberg Traurig, one of the largest law firms in the country, roughly doubled its downtown Minneapolis office space a few weeks ago.  The firm took over the entire 35th floor in the Wells Fargo Center and now has about 23,000 square feet in the building. Greenberg Traurig has 28 metro-area-based attorneys._x000a_The firm needs more space to accommodate its growing workforce and more hires are also likely.The firm specializes in intellectual property and litigation."/>
    <s v="OF"/>
    <m/>
    <m/>
    <x v="0"/>
    <n v="11000"/>
    <x v="17"/>
    <x v="4"/>
    <s v="https://www.bizjournals.com/twincities/news/2022/05/17/greenberg-traurig-roughly-doubles-office-space.html"/>
    <m/>
    <s v="90 S. Seventh St. "/>
    <n v="55402"/>
    <n v="44.976925000000001"/>
    <n v="-93.270819000000003"/>
    <m/>
    <m/>
    <m/>
    <m/>
    <m/>
    <m/>
    <m/>
    <m/>
    <s v="Metro"/>
    <x v="4"/>
  </r>
  <r>
    <x v="18"/>
    <d v="2022-05-23T00:00:00"/>
    <x v="673"/>
    <s v="Grand Rapids"/>
    <s v="Itasca"/>
    <s v="MN"/>
    <s v="MagIron purchased Plant 4 for $20 million acquisition. MagIron will support the electric arc furnace method of steelmaking. The process heats scrap ore with electricity to yield high-grade, low-impurity iron ore concentrate material for steel production.  The purchase includes the facility and 2,483 acres surrounding the plant. MagIron plans to invest about $100 million in Minnesota. The facility is expected to be running by 2023-Q3 and will generate 150 jobs, production, taxes, payroll and employees utilizing nearby goods and services for the community."/>
    <s v="MF"/>
    <n v="100000000"/>
    <n v="150"/>
    <x v="0"/>
    <m/>
    <x v="44"/>
    <x v="1"/>
    <s v="https://finance-commerce.com/2022/05/firm-aims-to-boost-green-steel/"/>
    <m/>
    <s v="28754 Co Hwy 61"/>
    <n v="55744"/>
    <n v="47.302222"/>
    <n v="-93.456272999999996"/>
    <m/>
    <m/>
    <m/>
    <m/>
    <m/>
    <m/>
    <m/>
    <m/>
    <s v="North"/>
    <x v="4"/>
  </r>
  <r>
    <x v="18"/>
    <d v="2022-05-24T00:00:00"/>
    <x v="651"/>
    <s v="North Branch"/>
    <s v="Chisago"/>
    <s v="MN"/>
    <s v="Bayport-based window and door manufacturer Andersen Corp. is floating plans for a 255,000-square-foot expansion of its operations in North Branch.  The project is under environmental review, and includes loading docks and other improvements on a 27-acre site. Site grading could begin in late summer. The city is taking public comments on the proposed expansion through June 23."/>
    <s v="MF"/>
    <m/>
    <m/>
    <x v="0"/>
    <n v="255000"/>
    <x v="24"/>
    <x v="1"/>
    <s v="https://finance-commerce.com/2022/05/andersen-corp-mulls-expansion-in-north-branch/"/>
    <m/>
    <s v=" 400th Street and Golden Avenue"/>
    <n v="55056"/>
    <n v="45.528328999999999"/>
    <n v="-92.976517000000001"/>
    <m/>
    <m/>
    <m/>
    <m/>
    <m/>
    <m/>
    <m/>
    <m/>
    <s v="Central"/>
    <x v="4"/>
  </r>
  <r>
    <x v="18"/>
    <d v="2022-05-24T00:00:00"/>
    <x v="674"/>
    <s v="Minneapolis"/>
    <s v="Hennepin"/>
    <s v="MN"/>
    <s v="Minneapolis-based Eureka Recycling, one of only a handful of nonprofit social enterprise recyclers in the country, has found a new location in its hometown.  Keep It in The Ground LLC, an entity related to Eureka, purchased a 68,260-square-industrial building on over 3 acres for about $4.9 million. Eureka now is located at 2828 Kennedy Street NE, where its material recovery facility processes an average of 400 to 450 tons of recycling every day. "/>
    <s v="Other"/>
    <n v="4915000"/>
    <m/>
    <x v="0"/>
    <n v="68260"/>
    <x v="55"/>
    <x v="5"/>
    <s v="https://finance-commerce.com/2022/05/just-sold-nonprofit-recycler-buys-new-location/"/>
    <m/>
    <s v=" 460 Hoover St. NE."/>
    <n v="55413"/>
    <n v="44.994647999999998"/>
    <n v="-93.218721000000002"/>
    <m/>
    <m/>
    <m/>
    <m/>
    <m/>
    <m/>
    <m/>
    <m/>
    <s v="Metro"/>
    <x v="4"/>
  </r>
  <r>
    <x v="18"/>
    <d v="2022-06-01T00:00:00"/>
    <x v="60"/>
    <s v="Centerville"/>
    <s v="Anoka"/>
    <s v="MN"/>
    <s v="Amazon will build its third metro area delivery center in the Anoka County suburb of Centerville and the facility could be open as early as next year.The Centerville City Council at its May 25 meeting approved plans for the 140,000-square-foot warehouse that will bring up to 600 full- and part-time jobs to the city. Delivery centers are often the last stop for items en route from seller to buyer. Amazon plans to build its Centerville facility featuring a warehouse, truck terminal and office. Update: opened in Aug 2023."/>
    <s v="DW"/>
    <n v="41670000"/>
    <n v="600"/>
    <x v="0"/>
    <n v="140000"/>
    <x v="0"/>
    <x v="8"/>
    <s v="https://www.startribune.com/amazon-to-build-delivery-center-in-centerville/600178287/"/>
    <m/>
    <s v="6985 21st Ave S"/>
    <n v="55038"/>
    <n v="45.148580000000003"/>
    <n v="-93.035349999999994"/>
    <m/>
    <m/>
    <m/>
    <m/>
    <m/>
    <m/>
    <m/>
    <m/>
    <s v="Metro"/>
    <x v="4"/>
  </r>
  <r>
    <x v="18"/>
    <d v="2022-06-03T00:00:00"/>
    <x v="675"/>
    <s v="Edina"/>
    <s v="Hennepin"/>
    <s v="MN"/>
    <s v="Business leaders from Minnesota and Finland admired the functional Scandinavian design of the Puustelli USA kitchens in Edina, but remodeling wasn't their main focus. Minnesota is one of the states Finland has identified to increase its U.S. footprint. The Finnish delegation, with its U.S. hosts, on Thursday celebrated the opening of Puustelli's first U.S. assembly warehouse and new showroom in Edina."/>
    <s v="WH, RT"/>
    <m/>
    <m/>
    <x v="0"/>
    <m/>
    <x v="8"/>
    <x v="1"/>
    <s v="https://www.startribune.com/minnesota-finland-strive-to-deepen-economic-ties/600178940/"/>
    <m/>
    <s v="7777 Washington Ave S"/>
    <n v="55439"/>
    <n v="44.862301000000002"/>
    <n v="-93.396859000000006"/>
    <m/>
    <m/>
    <m/>
    <m/>
    <s v="Puustelli"/>
    <m/>
    <m/>
    <s v="Finland"/>
    <s v="Metro"/>
    <x v="4"/>
  </r>
  <r>
    <x v="18"/>
    <d v="2022-06-13T00:00:00"/>
    <x v="676"/>
    <s v="Bloomington"/>
    <s v="Hennepin"/>
    <s v="MN"/>
    <s v="Tata Consultancy Services TCS plans to continue growing its footprint in Minnesota by expanding its hiring program in the coming year and accelerating its STEM outreach efforts in local schools. _x000a_“We’re incredibly excited that a global leader in STEM jobs and education programs is expanding here in Minnesota, adding over 100 new jobs to our economy,” said Governor Tim Walz. _x000a_Bloomington is home to one of the 30 TCS facilities in the U.S. TCS currently has more than 1,000 employees in the state"/>
    <m/>
    <m/>
    <n v="100"/>
    <x v="0"/>
    <m/>
    <x v="10"/>
    <x v="4"/>
    <s v="https://www.tcs.com/tcs-expands-minnesota-creating-more-hi-tech-jobs-growing-stem-education-initiatives-50"/>
    <m/>
    <s v="8300 Norman Center Dr Suite 1000, "/>
    <n v="55437"/>
    <n v="44.853110000000001"/>
    <n v="-93.353234999999998"/>
    <m/>
    <m/>
    <m/>
    <m/>
    <s v="Tata Group"/>
    <m/>
    <m/>
    <s v="India"/>
    <s v="Metro"/>
    <x v="4"/>
  </r>
  <r>
    <x v="18"/>
    <d v="2022-06-29T00:00:00"/>
    <x v="664"/>
    <s v="Cambridge"/>
    <s v="Isanti"/>
    <s v="MN"/>
    <s v="Allina Health plans to open a new medical facility in Cambridge, Minnesota, in 2025. This location is around two miles northeast of Allina's existing Cambridge Medical Center, which will remain open until the new facility is ready. The new medical center, with unknown square footage, will cost an estimated $150 million.  The design process will begin this summer. Construction will start when the ground thaws in 2023. The new building is expected to open in 2025."/>
    <s v="HC"/>
    <n v="150000000"/>
    <m/>
    <x v="0"/>
    <m/>
    <x v="40"/>
    <x v="0"/>
    <s v="https://finance-commerce.com/2022/06/allina-health-selects-site-for-new-150m-medical-center/"/>
    <m/>
    <s v="MN-95 and MN-65"/>
    <n v="55008"/>
    <n v="44.966217153435203"/>
    <n v="-93.269637236841206"/>
    <m/>
    <m/>
    <m/>
    <m/>
    <m/>
    <m/>
    <m/>
    <m/>
    <s v="Central"/>
    <x v="4"/>
  </r>
  <r>
    <x v="17"/>
    <d v="2022-07-05T00:00:00"/>
    <x v="403"/>
    <s v="Bloomington"/>
    <s v="Hennepin"/>
    <s v="MN"/>
    <s v="All Flex is a Premier Global Supplier of Flexible Circuits, Rigid Flex, Flexible Heaters, Flat Flex Cables, Membrane Switches, and Plastic Moldings. Bloomington Building Permit Report - $734,428 valuation. Renovations: Interior TI build out. Minor structural additions at the roof."/>
    <s v="MF"/>
    <n v="734428"/>
    <m/>
    <x v="0"/>
    <m/>
    <x v="23"/>
    <x v="1"/>
    <s v="https://www.bloomingtonmn.gov/bldg/permit-status-inspection-results-monthly-building-reports"/>
    <s v="City of Bloomington"/>
    <s v="9401 JAMES AVE S"/>
    <n v="55431"/>
    <n v="44.832580999999998"/>
    <n v="-93.299891000000002"/>
    <m/>
    <m/>
    <m/>
    <m/>
    <m/>
    <m/>
    <m/>
    <m/>
    <s v="Metro"/>
    <x v="4"/>
  </r>
  <r>
    <x v="17"/>
    <d v="2022-07-05T00:00:00"/>
    <x v="664"/>
    <s v="Lakeville"/>
    <s v="Dakota"/>
    <s v="MN"/>
    <s v="Allina Health has signed a lease for 78,500 square feet and will be the anchor tenant of The Lakeville Specialty Center when the building opens next fall. The new space will include a specialty center on 60,000 square feet of its space and a surgery center on 18,500 square feet. "/>
    <s v="HC"/>
    <m/>
    <m/>
    <x v="0"/>
    <n v="78500"/>
    <x v="40"/>
    <x v="0"/>
    <s v="https://www.bizjournals.com/twincities/news/2022/07/05/allina-health-davis-break-ground-on-medical-center.html"/>
    <s v="Minneapolis-St. Paul Business Journal"/>
    <s v="18465 185th St. W"/>
    <n v="55044"/>
    <n v="44.681212000000002"/>
    <n v="-93.318324000000004"/>
    <m/>
    <m/>
    <m/>
    <m/>
    <m/>
    <m/>
    <m/>
    <m/>
    <s v="Metro"/>
    <x v="4"/>
  </r>
  <r>
    <x v="17"/>
    <d v="2022-07-05T00:00:00"/>
    <x v="677"/>
    <s v="Eden Prairie"/>
    <s v="Hennepin"/>
    <s v="MN"/>
    <s v="Maryland-based WareSpace has acquired the building at 7500 Golden Triangle Drive in Eden Prairie.  WareSpace provides industrial spaces under 5,000 square feet at prices beginning at $700 per month. It lists 14 locations across the country besides Eden Prairie."/>
    <s v="OF"/>
    <n v="8000000"/>
    <m/>
    <x v="0"/>
    <n v="93350"/>
    <x v="0"/>
    <x v="2"/>
    <s v="https://finance-commerce.com/welcome-ad/?retUrl=/2022/07/just-sold-warespace-buys-first-local-property/"/>
    <s v="Finance &amp; Commerce"/>
    <s v="7500 Golden Triangle Drive "/>
    <n v="55344"/>
    <n v="44.866788999999997"/>
    <n v="-93.408044000000004"/>
    <m/>
    <m/>
    <m/>
    <m/>
    <m/>
    <m/>
    <m/>
    <m/>
    <s v="Metro"/>
    <x v="4"/>
  </r>
  <r>
    <x v="17"/>
    <d v="2022-07-08T00:00:00"/>
    <x v="678"/>
    <s v="Monticello"/>
    <s v="Wright"/>
    <s v="MN"/>
    <s v="Wiha Tools plans to build a new 78,000 sqft manufacturing facility to a 12.87-acre site -- with room for another 80,000 square feet of building space-- on the north side of the city.  Wiha will relocate and consolidate MN operations at new site. Current employees: 61._x000a_Total cost is $13.4 million for construction, site improvements and construction. Project will create 59 new jobs in the first five years. Construction of first phase begins in spring 2023, and is expected to open by end of 2023. Grand opening in April 2024_x000a_MIF Award: $220K.  JCF Award: $660K.  City govt expects to contribute $1.88 million in TIF and loans."/>
    <s v="MF"/>
    <n v="13437000"/>
    <n v="59"/>
    <x v="0"/>
    <n v="78000"/>
    <x v="79"/>
    <x v="1"/>
    <s v="https://www.hometownsource.com/monticello_times/news/wiha-tools-paving-the-way-for-new-facility/article_d8172710-fedc-11ec-8b6f-3315680158c3.html"/>
    <s v="Monticello Times, DEED"/>
    <s v="1348 Dundas Cir"/>
    <n v="55362"/>
    <n v="45.290906"/>
    <n v="-93.791241999999997"/>
    <s v="Government"/>
    <s v="MIF $220K, JCF $880K, City of Monticello TIF/Loans $1.882M"/>
    <n v="2982000"/>
    <m/>
    <s v="Wiha Werkzeuge GmbH"/>
    <s v="Schonach"/>
    <m/>
    <s v="Germany"/>
    <s v="Central"/>
    <x v="4"/>
  </r>
  <r>
    <x v="17"/>
    <d v="2022-07-11T00:00:00"/>
    <x v="679"/>
    <s v="St. Cloud"/>
    <s v="Stearns"/>
    <s v="MN"/>
    <s v="St. Cloud Building Permit Reports: Addition, $8.5 million at 725 Opportunity Dr."/>
    <s v="Other"/>
    <n v="8500000"/>
    <m/>
    <x v="0"/>
    <m/>
    <x v="0"/>
    <x v="3"/>
    <s v="https://www.ci.stcloud.mn.us/DocumentCenter/View/23430/July-2022"/>
    <s v="City of St. Cloud"/>
    <s v="725 Opportunity Dr"/>
    <n v="56301"/>
    <n v="45.46367"/>
    <n v="-94.125707000000006"/>
    <m/>
    <m/>
    <m/>
    <m/>
    <m/>
    <m/>
    <m/>
    <m/>
    <s v="Central"/>
    <x v="4"/>
  </r>
  <r>
    <x v="17"/>
    <d v="2022-07-12T00:00:00"/>
    <x v="680"/>
    <s v="Bloomington"/>
    <s v="Hennepin"/>
    <s v="MN"/>
    <s v="Bloomington Building Permit Report - $500,000 valuation. Remodeling Toro HQ office space."/>
    <s v="OF"/>
    <n v="500000"/>
    <m/>
    <x v="0"/>
    <m/>
    <x v="4"/>
    <x v="1"/>
    <s v="https://www.bloomingtonmn.gov/bldg/permit-status-inspection-results-monthly-building-reports"/>
    <s v="City of Bloomington"/>
    <s v="8111 LYNDALE AVE S"/>
    <n v="55420"/>
    <n v="44.857785999999997"/>
    <n v="-93.287079000000006"/>
    <m/>
    <m/>
    <m/>
    <m/>
    <m/>
    <m/>
    <m/>
    <m/>
    <s v="Metro"/>
    <x v="4"/>
  </r>
  <r>
    <x v="17"/>
    <d v="2022-07-13T00:00:00"/>
    <x v="413"/>
    <s v="Faribault"/>
    <s v="Rice"/>
    <s v="MN"/>
    <s v="Trystar is a Faribault-based manufacturer of portable power solutions that has had consistent, double-digit growth over the past five years. The company has 200 employees in Minnesota.  Trystar is just completing a 75,000-sq-ft expansion to the manufacturing plant. (In 2020, Trystar relocated operations to a 100,000-sq-ft manufacturing facility and added on a 20,000-sq-ft office space.) "/>
    <s v="MF"/>
    <m/>
    <m/>
    <x v="0"/>
    <n v="75000"/>
    <x v="4"/>
    <x v="1"/>
    <s v="https://www.bizjournals.com/twincities/news/2022/07/13/2022-minnesota-manufacturing-trystar.html"/>
    <s v="Minneapolis-St. Paul Business Journal"/>
    <s v="15765 Acorn Trail,"/>
    <n v="55021"/>
    <n v="44.359769"/>
    <n v="-93.283756999999994"/>
    <m/>
    <m/>
    <m/>
    <m/>
    <m/>
    <m/>
    <m/>
    <m/>
    <s v="South"/>
    <x v="4"/>
  </r>
  <r>
    <x v="17"/>
    <d v="2022-07-14T00:00:00"/>
    <x v="681"/>
    <s v="Oakdale"/>
    <s v="Washington"/>
    <s v="MN"/>
    <s v="Miraclon continues to invest in global Flexo HUBs with a new facility in Oakdale, Minn. This is its third Flexo HUB as it continues to invest in the flexographic industry. The new facility allows customers, partners and industry stakeholders based in North and South America local access to KODAK FLEXCEL NX Technology demonstrations, training and networking events and officially opens later this year. The FLEXCEL NX System includes imager, laminator, layout software and dedicated imaging and plate materials"/>
    <s v="MF"/>
    <m/>
    <m/>
    <x v="0"/>
    <m/>
    <x v="4"/>
    <x v="1"/>
    <s v="https://www.miraclon.com/news/miraclon-continues-global-flexo-hub-investment-with-new-facility-in-minnesota-usa/"/>
    <s v="Miraclon"/>
    <m/>
    <n v="55128"/>
    <n v="44.988162000000003"/>
    <n v="-92.964045999999996"/>
    <m/>
    <m/>
    <m/>
    <m/>
    <s v="Miraclon"/>
    <s v="Rochester"/>
    <s v="New York"/>
    <m/>
    <s v="Metro"/>
    <x v="4"/>
  </r>
  <r>
    <x v="17"/>
    <d v="2022-07-14T00:00:00"/>
    <x v="682"/>
    <s v="Minneapolis"/>
    <s v="Hennepin"/>
    <s v="MN"/>
    <s v="Spain-based Indizen Optical Technologies Opens A Versatile New Office In Minneapolis. The office will serve as a gathering place for IOT events and education and as a hub for broader optical meetings and training opportunities. The space will house sales and marketing staff initially, with room for additional employees as needed. IOT is an international company with offices in California and Spain that provides technology and services necessary to make premier eyeglass lenses. "/>
    <s v="OF"/>
    <m/>
    <m/>
    <x v="0"/>
    <m/>
    <x v="80"/>
    <x v="1"/>
    <s v="https://invisionmag.com/iot-opens-a-versatile-new-office-in-minneapolis/"/>
    <m/>
    <s v="305 N 5th Ave"/>
    <n v="55401"/>
    <n v="44.984786"/>
    <n v="-93.276180999999994"/>
    <m/>
    <m/>
    <m/>
    <s v="x"/>
    <s v="Indizen Optical Technologies"/>
    <m/>
    <m/>
    <s v="Spain"/>
    <s v="Metro"/>
    <x v="4"/>
  </r>
  <r>
    <x v="17"/>
    <d v="2022-07-15T00:00:00"/>
    <x v="433"/>
    <s v="Duluth"/>
    <s v="St Louis"/>
    <s v="MN"/>
    <s v="Cirrus Aircraft has opened the latest addition to its Duluth manufacturing plant – a 16,000 square foot painting facility that will increase employment by 50 persons. With the expansion, Cirrus will have 86,000 square feet of painting space. Pat Waddick, Cirrus president - innovation and operations: “We will gain 35% more capacity to complete aircraft.”  Cirrus currently employs 130 employees at the site."/>
    <s v="MF"/>
    <m/>
    <n v="50"/>
    <x v="0"/>
    <n v="16000"/>
    <x v="22"/>
    <x v="1"/>
    <s v="http://www.businessnorth.com/daily_briefing/cirrus-unveils-painting-addition-to-duluth-facilities/article_95cf8f22-0473-11ed-a50e-87323255cc4e.html"/>
    <s v="Business North"/>
    <s v="4515 Taylor Cir"/>
    <n v="55811"/>
    <n v="46.838329000000002"/>
    <n v="-92.203635000000006"/>
    <m/>
    <m/>
    <m/>
    <m/>
    <m/>
    <m/>
    <m/>
    <m/>
    <s v="North"/>
    <x v="4"/>
  </r>
  <r>
    <x v="17"/>
    <d v="2022-07-27T00:00:00"/>
    <x v="683"/>
    <s v="Brooklyn Park"/>
    <s v="Hennepin"/>
    <s v="MN"/>
    <s v="Salt Lake City-based Biomerics, a custom medical device manufacturer, plans to expand and create new jobs in Brooklyn Park. Biomerics currently employs about 170 people at that location._x000a__x000a_The project would increase the leased space - from 60K sq ft to 120K sqft, build it out and include new equipment. The total project cost is $4.6 million. The expansion would add 53 new jobs over the next two years.  _x000a_MIF Award: $1 million.  JCF Award: $405K. "/>
    <s v="MF"/>
    <n v="4591668"/>
    <n v="53"/>
    <x v="0"/>
    <n v="100000"/>
    <x v="11"/>
    <x v="1"/>
    <s v="https://ccxmedia.org/news/brooklyn-park-medical-device-manufacturer-biomerics-plans-expansion/"/>
    <s v="CCX Media, DEED"/>
    <s v="10351 Xylon Ave N Ste 100"/>
    <n v="55445"/>
    <n v="45.142977999999999"/>
    <n v="-93.390713000000005"/>
    <s v="Government"/>
    <s v="MIF $1M, JCF $405K, MJSP $22881"/>
    <n v="1427881"/>
    <m/>
    <m/>
    <s v="Salt Lake City"/>
    <s v="UT"/>
    <m/>
    <s v="Metro"/>
    <x v="4"/>
  </r>
  <r>
    <x v="17"/>
    <d v="2022-07-28T00:00:00"/>
    <x v="684"/>
    <s v="Plymouth"/>
    <s v="Hennepin"/>
    <s v="MN"/>
    <s v="3-D printing company Stratasyswill lease part of a Plymouth warehouse complex. Stratasys, which is legally based in Israel but has its operational headquarters in Eden Prairie, will take over the entire 168,100-square-foot Building One of the Parkers Lake Commerce Center in Plymouth to use as a warehouse.  Stratasys plans to keep its other area facilities."/>
    <s v="WH"/>
    <m/>
    <m/>
    <x v="0"/>
    <n v="168000"/>
    <x v="4"/>
    <x v="1"/>
    <s v="https://www.bizjournals.com/twincities/news/2022/07/28/stratasys-leases-warehouse.html"/>
    <s v="Minneapolis-St. Paul Business Journal"/>
    <s v="14600 21st Ave N"/>
    <n v="55447"/>
    <n v="45.002755999999998"/>
    <n v="-93.467070000000007"/>
    <m/>
    <m/>
    <m/>
    <s v="x"/>
    <s v="Stratasys"/>
    <m/>
    <m/>
    <s v="Israel"/>
    <s v="Metro"/>
    <x v="4"/>
  </r>
  <r>
    <x v="17"/>
    <d v="2022-07-29T00:00:00"/>
    <x v="685"/>
    <s v="Keewatin"/>
    <s v="Itasca"/>
    <s v="MN"/>
    <s v="US Steel selected its Keewatin Taconite plant (aka Keetac) for investing in a $150 million DR-grade pellet system, an entirely new product line for the company. For Keetac, it's an opportunity to produce pellets with a higher iron content than the traditional pellet, as feed for the fastest growing segment of domestic steelmaking. This will result in more stability for workers, currently at 350._x000a_10/11/22 update: Construction began on the addition, one of the largest MN taconite projects in recent history. "/>
    <s v="MF"/>
    <n v="150000000"/>
    <m/>
    <x v="0"/>
    <m/>
    <x v="44"/>
    <x v="1"/>
    <s v="https://www.mesabitribune.com/news/local/keetac-picked-by-u-s-steel-as-dr-grade-pellet-site/article_b76ab834-0ed0-11ed-9ba8-fb6c6b46752f.html"/>
    <m/>
    <s v="S Keewatin Rd"/>
    <n v="55746"/>
    <n v="47.387709999999998"/>
    <n v="-93.086320000000001"/>
    <m/>
    <m/>
    <m/>
    <m/>
    <m/>
    <m/>
    <m/>
    <m/>
    <s v="North"/>
    <x v="4"/>
  </r>
  <r>
    <x v="17"/>
    <d v="2022-08-02T00:00:00"/>
    <x v="686"/>
    <s v="White Bear Lake"/>
    <s v="Hennepin"/>
    <s v="MN"/>
    <s v="Startup electric truck manufacturer Zeus Electric Chassis Inc. has closed on $6.25 million in the first part of a planned $12.5 million Series A round._x000a_The White Bear Lake-based company plans to use the funding to increase its manufacturing capabilities, build out its sales offerings and hire product and field support teams. "/>
    <s v="MF"/>
    <m/>
    <m/>
    <x v="0"/>
    <m/>
    <x v="22"/>
    <x v="1"/>
    <s v="https://www.bizjournals.com/twincities/news/2022/08/10/landec-lifecore-biomedical.html"/>
    <s v="Minneapolis-St. Paul Business Journal"/>
    <s v="2320 Leibel St "/>
    <n v="55311"/>
    <n v="45.124262999999999"/>
    <n v="-93.499583000000001"/>
    <s v="Venture Capital"/>
    <m/>
    <m/>
    <m/>
    <m/>
    <m/>
    <m/>
    <m/>
    <s v="Metro"/>
    <x v="4"/>
  </r>
  <r>
    <x v="17"/>
    <d v="2022-08-02T07:57:20"/>
    <x v="687"/>
    <s v="Maple Grove"/>
    <s v="Ramsey"/>
    <s v="MN"/>
    <s v="Integer is the largest medical device outsource manufacturer in the world. Its two medical brands are Greatbatch Medical and Lake Region Medical. _x000a_Lake Region Medical plans to expand in Maple Grove, relocating from Brooklyn Park. The move allows the company to consolidate 3 existing buildings into one leased site of 175,00 square feet. Total cost is $9.1 million, including renovations and new equipment. Expect to create 49 jobs over 3 years._x000a_MIF Award: $600K. JCF Award: $475K. "/>
    <s v="MF"/>
    <n v="9125000"/>
    <n v="49"/>
    <x v="0"/>
    <m/>
    <x v="11"/>
    <x v="1"/>
    <s v="DEED"/>
    <s v="DEED"/>
    <m/>
    <n v="55110"/>
    <n v="45.120406000000003"/>
    <n v="-93.000988000000007"/>
    <s v="Government"/>
    <s v="MIF $600K, JCF $475K"/>
    <n v="1075000"/>
    <m/>
    <m/>
    <m/>
    <m/>
    <m/>
    <s v="Metro"/>
    <x v="4"/>
  </r>
  <r>
    <x v="17"/>
    <d v="2022-08-04T00:00:00"/>
    <x v="688"/>
    <s v="Mankato"/>
    <s v="Blue Earth"/>
    <s v="MN"/>
    <s v="Dakota Supply Group (DSG) held a groundbreaking ceremony on 8/4/22 for its new location at 1760 Energy Drive in Mankato. Expected completion is 2023.  There will be Electrical, HVAC, Plumbing, and Waterworks products will be available from this location. Dakota Supply Group sells construction products and materials to contractors and developers."/>
    <s v="OF, WH"/>
    <m/>
    <m/>
    <x v="0"/>
    <m/>
    <x v="0"/>
    <x v="11"/>
    <s v="https://www.dsgsupply.com/dsgnews/dsg-mankato-gb "/>
    <s v="Company website"/>
    <s v="1760 Energy Drive."/>
    <n v="56001"/>
    <n v="44.128324999999997"/>
    <n v="-93.978863000000004"/>
    <m/>
    <m/>
    <m/>
    <m/>
    <m/>
    <m/>
    <m/>
    <m/>
    <s v="South"/>
    <x v="4"/>
  </r>
  <r>
    <x v="17"/>
    <d v="2022-08-06T00:00:00"/>
    <x v="689"/>
    <s v="Little Falls"/>
    <s v="Morrison"/>
    <s v="MN"/>
    <s v="Wabash National, which manufactures semi-trailers, plans to relocate its refrigerated trailer operation to its plant in Little Falls. Project will create 216 jobs in Little Falls and invest $23 million in equipment by the end of 2023. Total cost is $23 million in renovations and equipment_x000a_The city of Little Falls and Morrison County approved extensions to the 10-year tax rebate Wabash received from each entity when it first moved to the area in 2017 — $50,000/year from the city and $40,000/year from the county through 2037 — a total of 20 years. _x000a_MIF Award: $450K. "/>
    <s v="MF"/>
    <n v="23000000"/>
    <n v="216"/>
    <x v="0"/>
    <m/>
    <x v="22"/>
    <x v="1"/>
    <s v="https://www.hometownsource.com/morrison_county_record/news/wabash-to-move-entire-refrigerated-division-to-little-falls/article_692fea8e-148b-11ed-85d2-2bf53b844790.html"/>
    <s v="Morrison County Record (Hometown Source)"/>
    <s v="700 Paul Larson Memorial Dr"/>
    <n v="56345"/>
    <n v="45.982989000000003"/>
    <n v="-94.368634999999998"/>
    <s v="Government"/>
    <s v="MIF ($450K) Tax Abatement (Little Falls, Morrison County, $90K/yr over 10 yr (2x 5yr) extension of current agreement)"/>
    <n v="1350000"/>
    <m/>
    <m/>
    <m/>
    <m/>
    <m/>
    <s v="Central"/>
    <x v="4"/>
  </r>
  <r>
    <x v="17"/>
    <d v="2022-08-07T00:00:00"/>
    <x v="690"/>
    <s v="Duluth"/>
    <s v="St Louis"/>
    <s v="MN"/>
    <s v="American Precision Avionics makes wiring harnesses and other airplane components. It already employs 87 people and hopes to hire another 25 production workers yet this year. One of their biggest customers is Cirrus. "/>
    <m/>
    <m/>
    <n v="25"/>
    <x v="0"/>
    <m/>
    <x v="81"/>
    <x v="1"/>
    <s v="https://www.duluthnewstribune.com/business/increased-aircraft-production-prompts-growth-in-duluth"/>
    <s v="Duluth News Tribune"/>
    <s v="3815 Prosperity Rd"/>
    <n v="55811"/>
    <n v="46.830615000000002"/>
    <n v="-92.149658000000002"/>
    <m/>
    <m/>
    <m/>
    <m/>
    <m/>
    <m/>
    <m/>
    <m/>
    <s v="North"/>
    <x v="4"/>
  </r>
  <r>
    <x v="17"/>
    <d v="2022-08-09T00:00:00"/>
    <x v="691"/>
    <s v="Hastings"/>
    <s v="Dakota"/>
    <s v="MN"/>
    <s v="Intek Plastics is looking to expand their facility by 60,000 sqft in the Hastings Business Park. Intek was running out of room in their current facility. The proposed project would include $6.6 million in construction and an additional $1.6 million in machinery and equipment investments with a total private investment of $8.2 million. The total project cost is $8.6 million includes new construction, renovations and machinery and equipment._x000a_MIF Award: $975K.  JCF Award: $725K.  New Jobs: 46."/>
    <s v="MF"/>
    <n v="8565857"/>
    <n v="46"/>
    <x v="0"/>
    <n v="60200"/>
    <x v="57"/>
    <x v="1"/>
    <s v="http://156.99.88.54/WebLink/0/edoc/737254/VIII-08%20Authorize%20Signature%20-%20Grant%20Contract%20Agreement%20-%20Minnesota%20Investment%20Fund%20-%20Intek%20Plastics.pdf"/>
    <s v="City of Hastings"/>
    <s v="1000 Spiral Blvd,"/>
    <n v="55033"/>
    <n v="44.720799999999997"/>
    <n v="-92.835496000000006"/>
    <s v="Government"/>
    <s v="MIF $975K, JCF $725K"/>
    <n v="1700000"/>
    <m/>
    <m/>
    <m/>
    <m/>
    <m/>
    <s v="Metro"/>
    <x v="4"/>
  </r>
  <r>
    <x v="17"/>
    <d v="2022-08-10T00:00:00"/>
    <x v="517"/>
    <s v="Grand Rapids"/>
    <s v="Itasca"/>
    <s v="MN"/>
    <s v="Plastics manufacturer MDI  is installing a new, state-of-the-art polypropylene extruder – a machine used to create sheets that are converted into custom and standard containers – at its Grand Rapids facility. The $3.2 million machine will allow MDI to produce up to five million sheets of material per year while creating an additional 75 new jobs across northern Minnesota over the next 10 years.  MDI received grants from the Blandin Foundation and the Iron Range Resources and Rehabilitation Board (IRRRB)."/>
    <s v="MF"/>
    <n v="3200000"/>
    <n v="75"/>
    <x v="0"/>
    <m/>
    <x v="57"/>
    <x v="1"/>
    <s v="http://www.businessnorth.com/daily_briefing/mdi-invests-3-2-million-in-grand-rapids/article_f0ac8c0a-18b0-11ed-b104-4726410ed756.html?utm_source=businessnorth.com&amp;utm_campaign=/newsletters/wednesday-headlines/%3Fscrape%3Dtrue%26-dc%3D1660165201&amp;utm_medium=email&amp;utm_content=headline"/>
    <s v="Business North"/>
    <s v="825 Lily Ln, "/>
    <n v="55744"/>
    <n v="47.221178000000002"/>
    <n v="-93.510043999999994"/>
    <m/>
    <m/>
    <m/>
    <m/>
    <m/>
    <m/>
    <m/>
    <m/>
    <s v="North"/>
    <x v="4"/>
  </r>
  <r>
    <x v="17"/>
    <d v="2022-08-18T00:00:00"/>
    <x v="692"/>
    <s v="Bloomington"/>
    <s v="Hennepin"/>
    <s v="MN"/>
    <s v="Onto Innovation stands alone in process control with our unique perspective across the semiconductor value chain. Metrology, defect inspection, lithography, and smart manufacturing software solutions for semiconductor manufacturers. Modifying existing space into a Cleanroom. Bloomington Building Permit report: $1.85 million valuation"/>
    <s v="RD, MF"/>
    <n v="1850000"/>
    <m/>
    <x v="0"/>
    <m/>
    <x v="4"/>
    <x v="1"/>
    <s v="https://www.bloomingtonmn.gov/bldg/permit-status-inspection-results-monthly-building-reports"/>
    <s v="City of Bloomington"/>
    <s v="4900 W 78TH ST"/>
    <n v="55435"/>
    <n v="44.859366999999999"/>
    <n v="-93.342202999999998"/>
    <m/>
    <m/>
    <m/>
    <m/>
    <m/>
    <m/>
    <m/>
    <m/>
    <s v="Metro"/>
    <x v="4"/>
  </r>
  <r>
    <x v="17"/>
    <d v="2022-08-19T00:00:00"/>
    <x v="693"/>
    <s v="Minneapolis"/>
    <s v="Hennepin"/>
    <s v="MN"/>
    <s v="Solsten, a Minneapolis-based company that uses AI to help brands gather insights on their customers, has raised $21.8 million through a Series B funding round. The company was founded in 2018 in Berlin, Germany, where most of its employees are based.  The money will be used to further develop its product suite, expand its Minneapolis headquarters and to fund future clinical trials. But over the next year, the company plans to employ more people from Minnesota."/>
    <s v="OF"/>
    <m/>
    <m/>
    <x v="0"/>
    <m/>
    <x v="3"/>
    <x v="4"/>
    <s v="https://www.bizjournals.com/twincities/inno/stories/fundings/2022/08/19/minneapolis-based-solsten-series-b-funding-million.html"/>
    <s v="Minneapolis-St. Paul Business Journal"/>
    <m/>
    <n v="55402"/>
    <n v="44.975915000000001"/>
    <n v="-93.271825000000007"/>
    <s v="Venture Capital"/>
    <m/>
    <m/>
    <s v="x"/>
    <s v="Solsten"/>
    <s v="Berlin"/>
    <m/>
    <s v="Germany"/>
    <s v="Metro"/>
    <x v="4"/>
  </r>
  <r>
    <x v="17"/>
    <d v="2022-08-23T00:00:00"/>
    <x v="694"/>
    <s v="Rosemount"/>
    <s v="Dakota"/>
    <s v="MN"/>
    <s v="The Hopkins-based general contractor is looking to construct a manufacturing facility with outdoor storage in Rosemount. The facility would be its second in Rosemount. Frana is the 8th-largest general contractor in the Twin Cities. The project provides the capacity for manufacturing all prefabricated floors needed for Frana’s field construction and to start producing their own trusses. About 83,000 square feet of the property will be for outdoor storage. The site will employ 30 people. _x000a_Update 7/2024: Project cost $10 million. Project size: 56,220 sqft (factory); 3,558 sqft (office)"/>
    <s v="MF"/>
    <n v="10000000"/>
    <n v="30"/>
    <x v="0"/>
    <n v="59778"/>
    <x v="0"/>
    <x v="11"/>
    <s v="https://www.bizjournals.com/twincities/news/2022/08/23/frana-cos-plans-rosemount-manufacturing-plant.html"/>
    <s v="Minneapolis-St. Paul Business Journal"/>
    <s v="15790 Canada Circle"/>
    <n v="55068"/>
    <n v="44.718094000000001"/>
    <n v="-93.129017000000005"/>
    <m/>
    <m/>
    <m/>
    <m/>
    <m/>
    <m/>
    <m/>
    <m/>
    <s v="Metro"/>
    <x v="4"/>
  </r>
  <r>
    <x v="17"/>
    <d v="2022-08-26T00:00:00"/>
    <x v="695"/>
    <s v="Chaska"/>
    <s v="Carver"/>
    <s v="MN"/>
    <s v="CloudHQ plans to build a $1 billion data center in Chaska, the fourth such facility in the West Creek Corporate Center. The center would be 1.4 million square feet, with a 180,000-square-foot story on top. CloudHQ is projected to provide local jurisdictions hundreds of millions of dollars in tax revenue over the lifecycle of the building. The data center would create 75 to 100 technical jobs. Construction of CloudHQ's data center is expected to begin in 2023."/>
    <s v="DC"/>
    <n v="1000000000"/>
    <n v="100"/>
    <x v="0"/>
    <n v="1400000"/>
    <x v="29"/>
    <x v="9"/>
    <s v="https://www.startribune.com/1-billion-1-4-million-square-foot-data-center-planned-for-chaska/600201478/"/>
    <s v="Star Tribune"/>
    <s v="1707 West Creek Lane,"/>
    <n v="55318"/>
    <n v="44.808245999999997"/>
    <n v="-93.634111000000004"/>
    <m/>
    <m/>
    <m/>
    <m/>
    <m/>
    <m/>
    <m/>
    <m/>
    <s v="Metro"/>
    <x v="4"/>
  </r>
  <r>
    <x v="17"/>
    <d v="2022-09-07T00:00:00"/>
    <x v="696"/>
    <s v="Grand Rapids"/>
    <s v="Itasca"/>
    <s v="MN"/>
    <s v="Duluth wood-products firm Arbor Wood is planning a new production facility in Grand Rapids._x000a_The long-shuttered Ainsworth Lumber Company oriented strand board (OSB) plant was purchased last year by a related entity to Arbor Wood, and includes 400,000 square feet of space and 138 acres._x000a_Arbor Wood plans to lease the production facility and install a thermal modification kiln—just the second of its kind in North America—and a full finishing mill."/>
    <s v="MF"/>
    <m/>
    <m/>
    <x v="0"/>
    <m/>
    <x v="24"/>
    <x v="1"/>
    <s v="http://www.businessnorth.com/daily_briefing/arbor-wood-expansion-plans-shift-back-to-grand-rapids/article_c883614e-2ed2-11ed-a87b-9f1f988ac5b9.html?utm_source=businessnorth.com&amp;utm_campaign=/newsletters/wednesday-headlines/%3Fscrape%3Dtrue%26-dc%3D1662584424&amp;utm_medium=email&amp;utm_content=read%20more"/>
    <s v="Business North"/>
    <m/>
    <n v="55744"/>
    <n v="47.234577000000002"/>
    <n v="-93.507034000000004"/>
    <m/>
    <m/>
    <m/>
    <m/>
    <m/>
    <m/>
    <m/>
    <m/>
    <s v="North"/>
    <x v="4"/>
  </r>
  <r>
    <x v="17"/>
    <d v="2022-09-08T00:00:00"/>
    <x v="697"/>
    <s v="Minneapolis"/>
    <s v="Hennepin"/>
    <s v="MN"/>
    <s v="MedTrace, a  Danish med-tech company specializing in blood-flow imaging technology, has planted its new U.S. headquarters in Minneapolis at the IDS Center.  FThe company chose to come to the Minneapolis market because the “Twin Cities are the global hub for medical devices.”  MedTrace has about 45 employees, with four employees based in the U.S. but intends to grow that number to 10 within a year, a majority of whom will be based in Minneapolis."/>
    <s v="HQ"/>
    <m/>
    <n v="4"/>
    <x v="0"/>
    <m/>
    <x v="11"/>
    <x v="1"/>
    <s v="https://www.bizjournals.com/twincities/inno/stories/news/2022/09/08/denmark-medtech-medtrace-downtown-minneapolis.html"/>
    <s v="Minneapolis-St. Paul Business Journal"/>
    <s v="80 S 8th St"/>
    <n v="55402"/>
    <n v="44.975901999999998"/>
    <n v="-93.272092999999998"/>
    <m/>
    <m/>
    <m/>
    <s v="x"/>
    <s v="MedTrace"/>
    <m/>
    <m/>
    <s v="Denmark"/>
    <s v="Metro"/>
    <x v="4"/>
  </r>
  <r>
    <x v="17"/>
    <d v="2022-09-21T00:00:00"/>
    <x v="110"/>
    <s v="Dayton"/>
    <s v="Hennepin"/>
    <s v="MN"/>
    <s v="Graco broke ground last month on a second 500,000-square-foot building on  the Dayton campus that will serve as its worldwide distribution center. The facility will employ 150 warehouse and office staff with an average annual wage of $59,200._x000a_Innovative BDPI award - 2022-Q3: City of Dayton will receive $2.0 million grant to construct utilities and a new street for a new 500,000 square foot Omni channel distribution facility to support Graco Inc.  "/>
    <s v="DW"/>
    <n v="81300000"/>
    <n v="150"/>
    <x v="0"/>
    <n v="529000"/>
    <x v="4"/>
    <x v="1"/>
    <s v="https://www.startribune.com/graco-opens-new-solar-powered-facility-in-dayton-minn/600209034/?refresh=true"/>
    <s v="Star Tribune"/>
    <s v="12225 W French Lake Rd"/>
    <n v="55327"/>
    <n v="45.166874999999997"/>
    <n v="-93.495929000000004"/>
    <s v="Government"/>
    <s v="IBDPI"/>
    <n v="2035101"/>
    <m/>
    <m/>
    <m/>
    <m/>
    <m/>
    <s v="Metro"/>
    <x v="4"/>
  </r>
  <r>
    <x v="17"/>
    <d v="2022-09-27T00:00:00"/>
    <x v="698"/>
    <s v="Brooklyn Park"/>
    <s v="Hennepin"/>
    <s v="MN"/>
    <s v="Walgreens, the second largest pharmacy chain in the country, is planning a 52,000-square-foot facility in Brooklyn Park that would significantly speed up delivery of customer prescriptions. the project is expected to create 142 full-time jobs. The micro-fulfillment facility will use $21 million in state-of-the-art robotics technology to  process 45,000 prescriptions in a day or 2,800 per hour (compared to 300 in a day at a regular pharmacy). DEED Awards: MIF $775K, JCF $475K_x000a_Update: Facility opens in May 2025."/>
    <s v="DW"/>
    <n v="34610615"/>
    <n v="142"/>
    <x v="0"/>
    <n v="53000"/>
    <x v="0"/>
    <x v="8"/>
    <s v="https://ccxmedia.org/news/walgreens-plans-brooklyn-park-facility-to-speed-up-prescription-delivery/"/>
    <m/>
    <s v="10695 Winnetka Avenue"/>
    <n v="55445"/>
    <n v="45.149346999999999"/>
    <n v="-93.381394999999998"/>
    <s v="Government"/>
    <s v="MIF $775K, JCF $475K"/>
    <n v="1250000"/>
    <m/>
    <s v="Walgreen"/>
    <s v="Deerfield"/>
    <s v="Illinois"/>
    <m/>
    <s v="Metro"/>
    <x v="4"/>
  </r>
  <r>
    <x v="17"/>
    <d v="2022-09-30T00:00:00"/>
    <x v="699"/>
    <s v="Cokato"/>
    <s v="Wright"/>
    <s v="MN"/>
    <s v="Minkkinen Iron is expanding in Cokato and plans to construct a new 18,000 square foot, $2 million steel fabrication facility. Minkkinen is considering additional expansions, including aluminum fabrication and powder facilities. The project will retain 34 jobs and create 20 new jobs in 5 years. _x000a_BDPI Award to the city of Cokato: $376,500 to construct streets and utilities.  The city provides the remaining $377,000."/>
    <s v="MF"/>
    <n v="2000000"/>
    <n v="20"/>
    <x v="16"/>
    <n v="18000"/>
    <x v="44"/>
    <x v="1"/>
    <s v="DEED"/>
    <s v="DEED"/>
    <s v="225 3rd St SW,"/>
    <n v="55321"/>
    <n v="45.076596000000002"/>
    <n v="-94.192274999999995"/>
    <m/>
    <m/>
    <m/>
    <m/>
    <m/>
    <m/>
    <m/>
    <m/>
    <s v="Central"/>
    <x v="4"/>
  </r>
  <r>
    <x v="19"/>
    <d v="2022-10-05T00:00:00"/>
    <x v="493"/>
    <s v="Alexandria"/>
    <s v="Douglas"/>
    <s v="MN"/>
    <s v="Minnesota food and beverage manufacturer SunOpta just broke ground on a new $31 million warehouse in Alexandria as part of its five-year goal to double its plant-based business by 2025.  The 252,000-square-foot warehouse increase overall handling and storage capacity, and support its production of oat milk. It will store raw materials for plant-based products, including oats, soybeans, hemp and tea, plus finished goods.   It's slated for completion next summer. "/>
    <s v="DW"/>
    <n v="31000000"/>
    <m/>
    <x v="0"/>
    <n v="252000"/>
    <x v="1"/>
    <x v="1"/>
    <s v="https://www.bizjournals.com/twincities/news/2022/10/04/new-sunopta-warehouse-alexandria.html"/>
    <m/>
    <s v="3455 34th Avenue West"/>
    <n v="56308"/>
    <n v="45.860156000000003"/>
    <n v="-95.379949999999994"/>
    <m/>
    <m/>
    <m/>
    <m/>
    <s v="SunOpta"/>
    <m/>
    <m/>
    <s v="CANADA"/>
    <s v="Central"/>
    <x v="4"/>
  </r>
  <r>
    <x v="19"/>
    <d v="2022-10-06T00:00:00"/>
    <x v="312"/>
    <s v="Eden Prairie"/>
    <s v="Hennepin"/>
    <s v="MN"/>
    <s v="Arctic Wolf cyber defense firm secures $401M in new funding. The money will go to hiring more people and product development.  The company offers its one-stop cloud native platform coupled with a differentiated delivery model. In July 2021, the company employed just fewer than 1,000 workers. Now, Arctic Wolf has more than 2,000 employees distributed across the globe. In October 2020, the company announced it was moving its headquarters from Sunnyvale, Calif., to Eden Prairie."/>
    <m/>
    <m/>
    <m/>
    <x v="0"/>
    <m/>
    <x v="3"/>
    <x v="4"/>
    <s v="https://www.startribune.com/eden-prairies-arctic-wolf-cyber-defense-firm-secures-401m-in-new-funding/600213545/"/>
    <m/>
    <s v="8939 Columbine Rd Suite 150"/>
    <n v="55347"/>
    <n v="44.841734000000002"/>
    <n v="-93.441980999999998"/>
    <s v="Venture Capital"/>
    <m/>
    <m/>
    <m/>
    <m/>
    <m/>
    <m/>
    <m/>
    <s v="Metro"/>
    <x v="4"/>
  </r>
  <r>
    <x v="19"/>
    <d v="2022-10-12T00:00:00"/>
    <x v="700"/>
    <s v="Minneapolis"/>
    <s v="Hennepin"/>
    <s v="MN"/>
    <s v="Chicago-based Workbox Holdings Inc. plans to open its own coworking space in downtown Minneapolis. Workbox plans on opening a 27,000-square-foot coworking space at 121 South 8th Street Tower, also called Deluxe Plaza. Opening is set for early November, where it will offer an office environment as well as business support services aimed at newer companies. It's Workbox's first location outside of Chicago, where it operates four coworking spaces."/>
    <s v="OF"/>
    <m/>
    <m/>
    <x v="0"/>
    <n v="27000"/>
    <x v="0"/>
    <x v="2"/>
    <s v="https://www.bizjournals.com/twincities/news/2022/10/12/workbox-opens-space-in-downtown-minneapolis.html"/>
    <s v="Minneapolis St Paul Business Journal"/>
    <s v="121 South 8th Street Tower"/>
    <n v="55402"/>
    <n v="44.974625000000003"/>
    <n v="-93.270889999999994"/>
    <m/>
    <m/>
    <m/>
    <m/>
    <m/>
    <m/>
    <m/>
    <m/>
    <s v="Metro"/>
    <x v="4"/>
  </r>
  <r>
    <x v="19"/>
    <d v="2022-10-14T00:00:00"/>
    <x v="701"/>
    <s v="Hibbing"/>
    <s v="St Louis"/>
    <s v="MN"/>
    <s v="A $2.6 million expansion is on the burner at a Hibbing foundry. Cast 7, LLC, a foundry east of Hibbing, plans to boost production of stainless steel traveling grates. The eight-member IRRRB considers a $1.3 million loan to help fund the project, with Security State Bank funding the loan. The expansion includes adding equipment such as air compressors, blast technology, and automation and robotics equipment._x000a_The project creates up to four new jobs paying $30 to $55 an hour."/>
    <s v="MF"/>
    <n v="2600000"/>
    <n v="4"/>
    <x v="0"/>
    <m/>
    <x v="74"/>
    <x v="1"/>
    <s v="http://www.businessnorth.com/daily_briefing/hibbing-foundry-to-expand/article_6203f130-4c24-11ed-beb4-7bf654b58eef.html?utm_source=businessnorth.com&amp;utm_campaign=/newsletters/monday-headlines/%3Fscrape%3Dtrue%26-dc%3D1666042221&amp;utm_medium=email&amp;utm_content=read%20more"/>
    <m/>
    <s v="11364 MN-37"/>
    <n v="55746"/>
    <n v="47.394854000000002"/>
    <n v="-92.876908999999998"/>
    <s v="Government"/>
    <s v="IRRRB"/>
    <n v="1300000"/>
    <m/>
    <m/>
    <m/>
    <m/>
    <m/>
    <s v="North"/>
    <x v="4"/>
  </r>
  <r>
    <x v="19"/>
    <d v="2022-10-14T00:00:00"/>
    <x v="86"/>
    <s v="Stewartville"/>
    <s v="Olmsted"/>
    <s v="MN"/>
    <s v="GEOTEK is looking to expand in Stewartville (Olmsted County). GEOTEK manufactures a variety of pultruded products such as tension bars for chain link fences, retaining wall pins, and nursery stakes. Geotek's proposes expanding onto an adjacent 40‐acre parcel through the expansion of a new product line. The total project cost is $13.525 million - covering $7.9 million in new construction, $2.3 million in site improvements, $2.53 million for purchase of equipment and $810,000 in other costs. They expect to create 35 jobs over 3 years._x000a_DEED AWARDS MIF $230K, JCF $800K"/>
    <s v="MF"/>
    <n v="13525000"/>
    <n v="35"/>
    <x v="0"/>
    <m/>
    <x v="82"/>
    <x v="1"/>
    <s v="https://www.kaaltv.com/news/groundbreaking-for-stewartville-business-expansion-geotek/"/>
    <s v="DEED"/>
    <s v="1421 2nd Ave NW"/>
    <n v="55976"/>
    <n v="43.866067999999999"/>
    <n v="-92.490588000000002"/>
    <s v="Government"/>
    <s v="JCF $800K, MIF $230K"/>
    <n v="1030000"/>
    <m/>
    <m/>
    <m/>
    <m/>
    <m/>
    <s v="South"/>
    <x v="4"/>
  </r>
  <r>
    <x v="19"/>
    <d v="2022-10-18T00:00:00"/>
    <x v="702"/>
    <s v="Waseca"/>
    <s v="Waseca"/>
    <s v="MN"/>
    <s v="Warehouse Storage will renovate main former Corchran's building to create 81,000 square feet of warehouse, manufacturing and office space.  Intended use after remodeling is truck maintenance, warehousing of truck parts and possibly air conditioners. An affiliated entity GT Express is located in Illinois; this is an expansion into Minnesota.  Will create 11 jobs and leverage $615,712 of private investment._x000a_DEED BDPI award to City of Waseca $102,297 for cleanup of stie contamination from chlorinated solvents."/>
    <s v="DW"/>
    <n v="615712"/>
    <n v="11"/>
    <x v="0"/>
    <m/>
    <x v="0"/>
    <x v="16"/>
    <s v="https://mn.gov/deed/newscenter/press-releases/?id=557678"/>
    <m/>
    <s v=" 1340 S State St"/>
    <n v="56093"/>
    <n v="44.065418999999999"/>
    <n v="-93.505668999999997"/>
    <s v="Government"/>
    <s v="DEED Cleanup Fund (to City of Waseca)"/>
    <n v="102297"/>
    <m/>
    <m/>
    <m/>
    <m/>
    <m/>
    <s v="South"/>
    <x v="4"/>
  </r>
  <r>
    <x v="19"/>
    <d v="2022-10-24T00:00:00"/>
    <x v="703"/>
    <s v="Eden Prairie"/>
    <s v="Hennepin"/>
    <s v="MN"/>
    <s v="Motion Industries opened its new larger facility in June 2022.  As an industrial automation solution provider, Motion Ai needed a larger space for their growing business. The new 105,000-square-foot premises features a gain of 55,000 square-feet over the old location, which was also in Eden Prairie. The larger space allows for a regional sales and support center, training classrooms, a regional fulfillment center, assembly and fabrication shops, and R&amp;D and engineering labs. "/>
    <s v="MF, RD, Other"/>
    <m/>
    <m/>
    <x v="0"/>
    <n v="105000"/>
    <x v="4"/>
    <x v="1"/>
    <s v="https://www.inddist.com/company-expansion-consolidation/news/22512202/motion-ai-opens-new-minnesota-facility"/>
    <s v="Industrial Distribution (www.inddist.com)"/>
    <s v="7350 Golden Triangle Drive"/>
    <n v="55344"/>
    <n v="44.869596999999999"/>
    <n v="-93.407747999999998"/>
    <m/>
    <m/>
    <m/>
    <m/>
    <m/>
    <m/>
    <m/>
    <m/>
    <s v="Metro"/>
    <x v="4"/>
  </r>
  <r>
    <x v="19"/>
    <d v="2022-10-31T00:00:00"/>
    <x v="704"/>
    <s v="Isle"/>
    <s v="Mille Lacs"/>
    <s v="MN"/>
    <s v="Doppler Gear has over 50 years of experience in custom gear manufacturing_x000a_Its four manufacturing facilities in the upper Mid-West.  Doppler Gear plans to invest $500,000 in two new buildings in Isle and buy new equipment. Will retain 12 jobs retained and create 38 new jobs within 5 years. _x000a_DEED BDPI $201,022 to construct streets and utilities in a 17 acre industrial park to support Doppler (total public infrastructure cost is $652,020)"/>
    <s v="MF"/>
    <n v="500000"/>
    <n v="38"/>
    <x v="17"/>
    <m/>
    <x v="4"/>
    <x v="1"/>
    <s v="n/a (DEED, Doppler Gear)"/>
    <m/>
    <s v="39872 Highway 47"/>
    <n v="56342"/>
    <n v="46.153078999999998"/>
    <n v="-93.461944000000003"/>
    <s v="Government"/>
    <s v="BDPI (for infrastructure)"/>
    <n v="201022"/>
    <m/>
    <m/>
    <m/>
    <m/>
    <m/>
    <s v="Central"/>
    <x v="4"/>
  </r>
  <r>
    <x v="19"/>
    <d v="2022-10-31T00:00:00"/>
    <x v="11"/>
    <s v="Mountain Iron"/>
    <s v="St Louis"/>
    <s v="MN"/>
    <s v="PV panel assembler Heliene announced the opening of a 420 MW plant in Minnesota, adding to the Canadian company’s existing 150 MW operation in the state (related to an original announced expansion in 2021). Heliene now employs 100 Minnesotans. _x000a_The company will spend $7 million on updated equipment for the 150 MW plant, with aims to double its capacity to 300 MW. The company expects this upgrade to be complete by July 2023."/>
    <s v="MF"/>
    <n v="7000000"/>
    <m/>
    <x v="0"/>
    <m/>
    <x v="7"/>
    <x v="1"/>
    <s v="https://pv-magazine-usa.com/2022/10/31/heliene-adds-420-mw-u-s-solar-panel-assembly-line/"/>
    <m/>
    <s v="8787 Silicon Way"/>
    <n v="55768"/>
    <n v="47.521563"/>
    <n v="-92.606620000000007"/>
    <m/>
    <m/>
    <m/>
    <m/>
    <s v="Heliene"/>
    <m/>
    <m/>
    <s v="CANADA"/>
    <s v="North"/>
    <x v="4"/>
  </r>
  <r>
    <x v="19"/>
    <d v="2022-10-31T00:00:00"/>
    <x v="116"/>
    <s v="Bloomington"/>
    <s v="Hennepin"/>
    <s v="MN"/>
    <s v="Bloomington Building Permit Report - $477,000 valuation. Interior demo and buildout of existing space."/>
    <s v="OF/MF?"/>
    <n v="477000"/>
    <m/>
    <x v="0"/>
    <m/>
    <x v="4"/>
    <x v="1"/>
    <s v="https://www.bloomingtonmn.gov/bldg/permit-status-inspection-results-and-monthly-building-reports"/>
    <m/>
    <s v="9250 BLOOMINGTON FWY"/>
    <n v="55431"/>
    <n v="44.835960999999998"/>
    <n v="-93.297640999999999"/>
    <m/>
    <m/>
    <m/>
    <m/>
    <m/>
    <m/>
    <m/>
    <m/>
    <s v="Metro"/>
    <x v="4"/>
  </r>
  <r>
    <x v="19"/>
    <d v="2022-11-01T00:00:00"/>
    <x v="597"/>
    <s v="Rosemount"/>
    <s v="Dakota"/>
    <s v="MN"/>
    <s v="Spectro Alloys, a leading Midwest-based recycler of aluminum, celebrated the opening of its state-of-the-art distribution center. The $6-million project completed this fall is part of the company’s ongoing efforts to modernize and become Minnesota’s recycling plant of the future. The 70,000-square-foot distribution center helps streamline the production, shipping and receiving processes at Spectro Alloys, which provides recycled aluminum ingots to regional die casters and foundries. "/>
    <s v="MF, WH"/>
    <n v="6000000"/>
    <m/>
    <x v="0"/>
    <n v="70000"/>
    <x v="44"/>
    <x v="1"/>
    <s v="https://wasteadvantagemag.com/spectro-alloys-unveils-70000-square-foot-distribution-center/"/>
    <s v="Waste Advantage Magazine, DEED"/>
    <s v="13220 Doyle Path"/>
    <n v="55068"/>
    <n v="44.757401000000002"/>
    <n v="-93.011330999999998"/>
    <m/>
    <m/>
    <m/>
    <m/>
    <m/>
    <m/>
    <m/>
    <m/>
    <s v="Metro"/>
    <x v="4"/>
  </r>
  <r>
    <x v="19"/>
    <d v="2022-11-02T00:00:00"/>
    <x v="705"/>
    <s v="Merrifield"/>
    <s v="Crow Wing"/>
    <s v="MN"/>
    <s v="Clow Stamping Manufacturing, a provider of metal stampings to agriculture and other industries, wants to add 100,000 square feet of manufacturing space to its 285,000-square-foot facility in Merrifield, near Nisswa._x000a_The company expects to create 65 jobs over the next two years as part of the $18.9 million expansion. The jobs would pay $17.50 on average. The project includes $14.9 million in new construction._x000a_DEED Awards: MIF $450K. JCF $840K._x000a_Update: Construction begins June 2023."/>
    <s v="MF"/>
    <n v="18900000"/>
    <n v="65"/>
    <x v="0"/>
    <n v="100000"/>
    <x v="82"/>
    <x v="1"/>
    <s v="https://finance-commerce.com/2022/11/metal-stamping-company-plans-nisswa-expansion/"/>
    <m/>
    <s v="23103 Co Rd 3"/>
    <n v="56465"/>
    <n v="46.486683999999997"/>
    <n v="-94.158050000000003"/>
    <s v="Government"/>
    <s v="MIF $450K. $840K JCF."/>
    <n v="1290000"/>
    <m/>
    <m/>
    <m/>
    <m/>
    <m/>
    <s v="Central"/>
    <x v="4"/>
  </r>
  <r>
    <x v="19"/>
    <d v="2022-11-10T00:00:00"/>
    <x v="706"/>
    <s v="Minneapolis"/>
    <s v="Hennepin"/>
    <s v="MN"/>
    <s v="Twin Ignition, a venture capital fund that invests in local tech startups, is expanding in Northeast Minneapolis. An affiliated entity affiliated acquired the Grain Belt complex’s Keg House Arts Building for about $5 million. Twin Ignition plans to relocate companies that are getting too big for the 6,000-square-foot Startup Garage into bigger spaces within the nearly 45,000-square-foot Keg House to help support their next phase of growth. "/>
    <m/>
    <m/>
    <m/>
    <x v="0"/>
    <n v="45000"/>
    <x v="10"/>
    <x v="4"/>
    <s v="https://www.bizjournals.com/twincities/news/2022/11/10/twin-ignition-keg-house-building-northeast-mpls.html?utm_source=st&amp;utm_medium=en&amp;utm_campaign=inno&amp;ana=e_n&amp;utm_content=mn"/>
    <m/>
    <s v="1317 Marshall St NE"/>
    <n v="55413"/>
    <n v="45.000678999999998"/>
    <n v="-93.269960999999995"/>
    <m/>
    <m/>
    <m/>
    <m/>
    <m/>
    <m/>
    <m/>
    <m/>
    <s v="Metro"/>
    <x v="4"/>
  </r>
  <r>
    <x v="19"/>
    <d v="2022-11-11T00:00:00"/>
    <x v="707"/>
    <s v="St Louis Park"/>
    <s v="Hennepin"/>
    <s v="MN"/>
    <s v="Taco John's last month opened a new state-of-the-art test kitchen, where chefs and researchers are developing new recipes and experimenting with new gadgets.  The test kitchen is part of a 20,000-square-foot restaurant support center that Taco John's created in offices above the West End shops. The center has offices for about 30 employees, and helps run the chain's operations, supply chain, marketing and technology. _x000a_8/19/25 update: Taco John's has moved its corporate HQ to St Louis Park"/>
    <s v="Other/OF"/>
    <m/>
    <n v="30"/>
    <x v="0"/>
    <n v="20000"/>
    <x v="77"/>
    <x v="7"/>
    <s v="https://www.startribune.com/taco-johns-opens-test-kitchen-in-st-louis-park/600224663/"/>
    <m/>
    <s v="n/a"/>
    <n v="55416"/>
    <n v="44.959699999999998"/>
    <n v="-93.370199999999997"/>
    <m/>
    <m/>
    <m/>
    <m/>
    <m/>
    <m/>
    <m/>
    <m/>
    <s v="Metro"/>
    <x v="4"/>
  </r>
  <r>
    <x v="19"/>
    <d v="2022-11-14T00:00:00"/>
    <x v="708"/>
    <s v="New Hope"/>
    <s v="Hennepin"/>
    <s v="MN"/>
    <s v="Padagis is a pharmaceutical manufacturer that offers high quality generic Rx and OTC products.  Padagis owns and operates a manufacturing site in New Hope. Padagis plans to add $5,000,000 in new modernized manufacturing machinery and equipment and 60 new employees at the New Hope site. Currently, Padagis is New Hope’ s sixth largest employer, with approximately 315 employees. The investment will increase the long-term viability of the New Hope plant._x000a__x000a_DEED Awards 2023-Q1: MIF ($980K)"/>
    <m/>
    <n v="5000000"/>
    <n v="60"/>
    <x v="0"/>
    <m/>
    <x v="28"/>
    <x v="1"/>
    <s v="https://image.ci.new-hope.mn.us/WebLink/PDF/aa4a3c8e-5bd3-4576-b637-3e45ebd21377/11%2014%2022%20City%20Council%20Minutes.pdf"/>
    <s v="City of New Hope (City Council Minutes, 11/14/2023)"/>
    <s v="3940 Quebec Avenue North"/>
    <n v="55427"/>
    <n v="45.027541999999997"/>
    <n v="-93.376852"/>
    <s v="Government"/>
    <s v="MIF"/>
    <n v="980000"/>
    <m/>
    <m/>
    <m/>
    <m/>
    <m/>
    <s v="Metro"/>
    <x v="4"/>
  </r>
  <r>
    <x v="19"/>
    <d v="2022-11-15T00:00:00"/>
    <x v="709"/>
    <s v="Benson"/>
    <s v="Swift"/>
    <s v="MN"/>
    <s v="A company from Denmark that harvests energy from manure and food waste is poised to bring its high-tech system to two Minnesota communities. Nature Energy’s business is to take manure from dairy and other livestock farmers, then turn the methane from that manure into natural gas and next give that manure back to farmers for use as fertilizer. Nature Energy plans to start construction in Benson and Wilson next year. _x000a_The facility that Nature Energy will use in Benson was a former plant that was built to turn turkey manure into energy."/>
    <m/>
    <m/>
    <m/>
    <x v="0"/>
    <m/>
    <x v="83"/>
    <x v="1"/>
    <s v="https://www.agweek.com/business/nature-energy-brings-large-scale-manure-to-energy-projects-from-denmark-to-minnesota"/>
    <m/>
    <s v="900 Industry Drive "/>
    <n v="56215"/>
    <n v="45.322293999999999"/>
    <n v="-95.630016999999995"/>
    <m/>
    <m/>
    <m/>
    <s v="x"/>
    <s v="Nature Energy"/>
    <m/>
    <m/>
    <s v="Denmark"/>
    <s v="Central"/>
    <x v="4"/>
  </r>
  <r>
    <x v="19"/>
    <d v="2022-11-15T00:00:00"/>
    <x v="709"/>
    <s v="Wilson"/>
    <s v="Winona"/>
    <s v="MN"/>
    <s v="A company from Denmark that harvests energy from manure and food waste is poised to bring its high-tech system to two Minnesota communities. Nature Energy’s business is to take manure from dairy and other livestock farmers, then turn the methane from that manure into natural gas and next give that manure back to farmers for use as fertilizer. Nature Energy plans to start construction in Benson and Wilson next year. "/>
    <m/>
    <m/>
    <m/>
    <x v="0"/>
    <m/>
    <x v="83"/>
    <x v="1"/>
    <s v="https://www.agweek.com/business/nature-energy-brings-large-scale-manure-to-energy-projects-from-denmark-to-minnesota"/>
    <m/>
    <s v="28830 County Route 12"/>
    <n v="55987"/>
    <n v="43.953346000000003"/>
    <n v="-91.703637999999998"/>
    <m/>
    <m/>
    <m/>
    <s v="x"/>
    <s v="Nature Energy"/>
    <m/>
    <m/>
    <s v="Denmark"/>
    <s v="South"/>
    <x v="4"/>
  </r>
  <r>
    <x v="19"/>
    <d v="2022-11-16T00:00:00"/>
    <x v="710"/>
    <s v="Eden Prairie"/>
    <s v="Hennepin"/>
    <s v="MN"/>
    <s v="Winnebago plans to open a 40,000 square-foot Advanced Technology Innovation Center in  Minnesota focused on developing innovative technologies for the RV and boating markets. _x000a_Location is TBD but will be near its headquarters in Eden Prairie. Winnebago will lease rather than buy or build. Buildout of the facility will begin in early 2023, with move-in starting in May or June._x000a_Current employees working on the 25 person R&amp;D team in Eden Prairie or north Iowa will shift to the new facility. "/>
    <s v="RD"/>
    <m/>
    <m/>
    <x v="0"/>
    <n v="40000"/>
    <x v="22"/>
    <x v="1"/>
    <s v="https://www.bizjournals.com/twincities/news/2022/11/16/rv-minnesota-winnebago-innovation.html"/>
    <m/>
    <s v="n/a"/>
    <n v="55344"/>
    <n v="44.850563000000001"/>
    <n v="-93.440428999999995"/>
    <m/>
    <m/>
    <m/>
    <m/>
    <m/>
    <m/>
    <m/>
    <m/>
    <s v="Metro"/>
    <x v="4"/>
  </r>
  <r>
    <x v="19"/>
    <d v="2022-11-17T00:00:00"/>
    <x v="711"/>
    <s v="Eden Prairie"/>
    <s v="Hennepin"/>
    <s v="MN"/>
    <s v="The Doran Group will relocate its headquarters to Eden Prairie by the end of next April. Doran paid for $3.5 million this week for an office building and plans to renovate the building and move its operations into the nearly 19,000-square-foot space - relocating from a Bloomington office building. They will invest more than $1 million in building improvements and new amenities."/>
    <s v="OF"/>
    <n v="4500000"/>
    <m/>
    <x v="0"/>
    <m/>
    <x v="49"/>
    <x v="2"/>
    <s v="https://www.bizjournals.com/twincities/news/2022/11/17/doran-group-relocating-headquarters-eden-prairie.html"/>
    <m/>
    <s v="6423 City West Parkway"/>
    <n v="55344"/>
    <n v="44.888202999999997"/>
    <n v="-93.417029999999997"/>
    <m/>
    <m/>
    <m/>
    <m/>
    <m/>
    <m/>
    <m/>
    <m/>
    <s v="Metro"/>
    <x v="4"/>
  </r>
  <r>
    <x v="19"/>
    <d v="2022-11-18T00:00:00"/>
    <x v="712"/>
    <s v="Farmington"/>
    <s v="Dakota"/>
    <s v="MN"/>
    <s v="Aerospace Fabrication will be constructing a new building inside the Farmington Industrial Park. Employees and city leaders celebrated the addition with a Nov. 2, 2022 groundbreaking ceremony. The 13,333-square-foot addition will allow for increased production and new processing systems. Anticipate the project to wrap up by spring 2023. _x000a_UPDATE: Aerospace Fabrication cut the ribbon in summer 2023 on a 13,333-square-foot expansion of its building."/>
    <s v="MF"/>
    <m/>
    <m/>
    <x v="0"/>
    <n v="13333"/>
    <x v="22"/>
    <x v="1"/>
    <s v="https://www.hometownsource.com/sun_thisweek/community/dakota_county/aerospace-fabrication-breaks-ground-in-farmington/article_e660a0da-5e86-11ed-be4a-5bdb034b417f.html"/>
    <s v="Hometown Source"/>
    <s v="5147 208th St W,"/>
    <n v="55024"/>
    <n v="44.647232000000002"/>
    <n v="-93.169590999999997"/>
    <m/>
    <m/>
    <m/>
    <m/>
    <m/>
    <m/>
    <m/>
    <m/>
    <s v="Metro"/>
    <x v="4"/>
  </r>
  <r>
    <x v="19"/>
    <d v="2022-11-19T00:00:00"/>
    <x v="713"/>
    <s v="Le Sueur"/>
    <s v="Le Sueur"/>
    <s v="MN"/>
    <s v="Cambria, known for its luxury countertops, expands again. Cambria's $130 million quartz-countertop factory expansion roared to life this month — and with it, the family-owned company now has 1 million square feet of operations an hour south of Minneapolis in Le Sueur._x000a_The plant addition, the third in 15 years, offers a sixth production line and 50 new jobs. Already, Cambria has added 130 jobs this year and now employs 1,900 workers nationwide. It will need an additional 100 workers long term."/>
    <s v="MF"/>
    <n v="130000000"/>
    <n v="280"/>
    <x v="0"/>
    <m/>
    <x v="84"/>
    <x v="1"/>
    <s v="https://www.startribune.com/cambria-known-for-its-luxury-countertops-expands-again/600227748/"/>
    <m/>
    <s v="31496 Cambria Ave"/>
    <n v="56058"/>
    <n v="44.494033000000002"/>
    <n v="-93.870442999999995"/>
    <m/>
    <m/>
    <m/>
    <m/>
    <m/>
    <m/>
    <m/>
    <m/>
    <s v="South"/>
    <x v="4"/>
  </r>
  <r>
    <x v="19"/>
    <d v="2022-11-28T00:00:00"/>
    <x v="714"/>
    <s v="Minneapolis"/>
    <s v="Hennepin"/>
    <s v="MN"/>
    <s v="Former NBA star and developer Devean George is bringing a modular housing manufacturing plant (George Modular Innovation Solutions) to North Minneapolis. Once operational, he expects to create about 350 union jobs, paying at least $31 an hour. The products will be using low-gauge steel, rather than wood. _x000a_UPDATE 3/2024. George Modular purchased an 82,972-square-foot warehouse building in North Minneapolis. The project cost is now $31 million, and includes buildout. Expect to start construction this spring, complete construction this fall. _x000a_Fin. Asst.: MIF $3M, JCF $756K, City of Mpls $2M"/>
    <s v="MF"/>
    <n v="30200000"/>
    <n v="350"/>
    <x v="0"/>
    <m/>
    <x v="82"/>
    <x v="1"/>
    <s v="https://finance-commerce.com/2022/11/new-modular-manufacturer-has-north-minneapolis-plans/"/>
    <m/>
    <s v="1400 Washington Ave N"/>
    <n v="55454"/>
    <n v="44.993718000000001"/>
    <n v="-93.280733999999995"/>
    <s v="Government"/>
    <s v="City of Mpls ($2M), MIF ($3M), JCF ($756,816)"/>
    <n v="5756816"/>
    <m/>
    <m/>
    <m/>
    <m/>
    <m/>
    <s v="Metro"/>
    <x v="4"/>
  </r>
  <r>
    <x v="19"/>
    <d v="2022-12-06T00:00:00"/>
    <x v="688"/>
    <s v="Otsego"/>
    <s v="Wright"/>
    <s v="MN"/>
    <s v="Dakota Supply Group (DSG) has been serving customers in Monticello and Otsego for several years and moved from Monticello to its new location in Otsego. The new facility has expanded the company’s services to the plumbing, waterworks, on-site sewer, water, and well, HVAC, and electrical needs in this growing area. DSG is headquartered in Plymouth, Minnesota, and has 13 locations in Minnesota and more than 300 employee-owners."/>
    <s v="OF, WH"/>
    <m/>
    <m/>
    <x v="0"/>
    <m/>
    <x v="0"/>
    <x v="11"/>
    <s v="https://www.dsgsupply.com/dsgnews/dsg-monticello"/>
    <s v="Company website"/>
    <s v="7505 Kadler Ave NE"/>
    <n v="55362"/>
    <n v="45.256402999999999"/>
    <n v="-93.683985000000007"/>
    <m/>
    <m/>
    <m/>
    <m/>
    <m/>
    <m/>
    <m/>
    <m/>
    <s v="Central"/>
    <x v="4"/>
  </r>
  <r>
    <x v="19"/>
    <d v="2022-12-08T00:00:00"/>
    <x v="715"/>
    <s v="Bloomington"/>
    <s v="Hennepin"/>
    <s v="MN"/>
    <s v="Axis Communications, a maker of security camera systems, is opening a showroom and 'experience center' at the Mall of America's office complex _x000a_to  showcase the company’s security products for customers to get a hands-on experience of Axis technology. The 4,500-square-foot experience center feature a 16-by-9-foot video wall of live footage of the Twin Cities from rooftop cameras.  _x000a_Axis Communications' parent company is Axis Communications AB, based in Sweden, whose ultimate parent company is Canon, based in Japan."/>
    <m/>
    <m/>
    <m/>
    <x v="0"/>
    <n v="4500"/>
    <x v="23"/>
    <x v="1"/>
    <s v="https://www.bizjournals.com/twincities/news/2022/12/08/axis-experience-center-opening-moa.html"/>
    <s v="Minneapolis St Paul Business Journal"/>
    <s v="2131 Lindau Ln"/>
    <n v="55425"/>
    <n v="44.856324000000001"/>
    <n v="-93.241945000000001"/>
    <m/>
    <m/>
    <m/>
    <s v="x"/>
    <s v="Canon"/>
    <m/>
    <m/>
    <s v="Japan"/>
    <s v="Metro"/>
    <x v="4"/>
  </r>
  <r>
    <x v="19"/>
    <d v="2022-12-13T00:00:00"/>
    <x v="274"/>
    <s v="Plymouth"/>
    <s v="Hennepin"/>
    <s v="MN"/>
    <s v="HistoSonics has  raised $100 million. The funding will go toward supporting the commercial launch of its device, called Edison, by the second half of 2023, developing more applications for the device and undergoing additional clinical trials. The company utilizes histotripsy which uses sonic waves to destroy cancerous body tissue. Funds will ae used to expand its current 30,000-square-foot facility in Plymouth and another in Ann Arbor, Mich.. Half of its 70 full-time employees are in Plymouth."/>
    <m/>
    <m/>
    <m/>
    <x v="0"/>
    <m/>
    <x v="11"/>
    <x v="1"/>
    <s v="https://www.bizjournals.com/twincities/inno/stories/fundings/2022/12/13/company-sonic-waves-cancer-100-million.html"/>
    <m/>
    <s v="16305 36th Ave N STE 300"/>
    <n v="55446"/>
    <n v="45.020471999999998"/>
    <n v="-93.487740000000002"/>
    <s v="Venture Capital"/>
    <m/>
    <m/>
    <m/>
    <m/>
    <m/>
    <m/>
    <m/>
    <s v="Metro"/>
    <x v="4"/>
  </r>
  <r>
    <x v="19"/>
    <d v="2022-12-14T00:00:00"/>
    <x v="716"/>
    <s v="Minneapolis"/>
    <s v="Hennepin"/>
    <s v="MN"/>
    <s v="Piper Sandler &amp; Co. has signed a 15-year lease to occupy 113,000 square feet of space at North Loop Green, a mixed-use development under construction in the North Loop district of downtown Minneapolis, according to the project’s developer. Piper Sandler &amp; Co., an investment banking firm, will relocate its headquarters to the development as its anchor tenant in summer 2025, Hines said in a press release."/>
    <m/>
    <m/>
    <m/>
    <x v="0"/>
    <n v="113000"/>
    <x v="50"/>
    <x v="6"/>
    <s v="https://finance-commerce.com/2022/12/north-loop-green-lands-big-tenant/"/>
    <m/>
    <s v="350 N 5th St,"/>
    <n v="55415"/>
    <n v="44.977376999999997"/>
    <n v="-93.265687999999997"/>
    <m/>
    <m/>
    <m/>
    <m/>
    <m/>
    <m/>
    <m/>
    <m/>
    <s v="Metro"/>
    <x v="4"/>
  </r>
  <r>
    <x v="19"/>
    <d v="2022-12-14T00:00:00"/>
    <x v="717"/>
    <s v="Bloomington"/>
    <s v="Hennepin"/>
    <s v="MN"/>
    <s v="Bloomington Building Permit: Pallet Racking (likely to a warehouse type space)"/>
    <s v="DW"/>
    <n v="550000"/>
    <m/>
    <x v="0"/>
    <m/>
    <x v="57"/>
    <x v="1"/>
    <s v="https://www.bloomingtonmn.gov/bldg/permit-status-inspection-results-and-monthly-building-reports"/>
    <m/>
    <s v="5501 W OLD SHAKOPEE RD"/>
    <n v="55437"/>
    <n v="44.805850999999997"/>
    <n v="-93.353004999999996"/>
    <m/>
    <m/>
    <m/>
    <m/>
    <m/>
    <m/>
    <m/>
    <m/>
    <s v="Metro"/>
    <x v="4"/>
  </r>
  <r>
    <x v="19"/>
    <d v="2022-12-20T00:00:00"/>
    <x v="718"/>
    <s v="Bloomington"/>
    <s v="Hennepin"/>
    <s v="MN"/>
    <s v="Bloomington Building Permit: Interior tenant buildout (likely to office/related space)"/>
    <s v="OF"/>
    <n v="4327458"/>
    <m/>
    <x v="0"/>
    <m/>
    <x v="36"/>
    <x v="6"/>
    <s v="https://www.bloomingtonmn.gov/bldg/permit-status-inspection-results-and-monthly-building-reports"/>
    <m/>
    <s v="3500 AMERICAN BLVD W"/>
    <n v="55431"/>
    <n v="44.858280000000001"/>
    <n v="-93.325306999999995"/>
    <m/>
    <m/>
    <m/>
    <m/>
    <m/>
    <m/>
    <m/>
    <m/>
    <s v="Metro"/>
    <x v="4"/>
  </r>
  <r>
    <x v="19"/>
    <d v="2022-12-27T00:00:00"/>
    <x v="719"/>
    <s v="Alexandria"/>
    <s v="Douglas"/>
    <s v="MN"/>
    <s v="Massman Companies pursues $16.3M expansion into Alexandria.  To support its operations of manufacturing automated food-packaging machines in Villard, Massman is planning to build a 75,000-square-foot facility. The project is expected to create at least 10 new, high-paying full-time jobs within two years. Also 100 jobs will be transfered from Villard (where there are 378 employees).  Massman is requesting $2 million in TIF from the city. Groundbreaking ceremony in May 2023. Expect to complete the new facility by early 2024._x000a_DEED Awards: JCF $175K, MIF $150K"/>
    <s v="MF"/>
    <n v="18287876"/>
    <n v="21"/>
    <x v="0"/>
    <n v="75000"/>
    <x v="85"/>
    <x v="1"/>
    <s v="https://darik.news/wisconsin/massman-seeks-tax-help-for-16m-expansion-in-alexandria-alexandria-echo-press/814866.html"/>
    <s v="Darik News, DEED"/>
    <s v="County Road 46 and Nevada Street, Alexandria mn"/>
    <n v="56308"/>
    <n v="45.902017000000001"/>
    <n v="-95.420589000000007"/>
    <s v="Government"/>
    <s v="JCF ($175K), MIF ($150K)"/>
    <n v="325000"/>
    <m/>
    <m/>
    <m/>
    <m/>
    <m/>
    <s v="Central"/>
    <x v="4"/>
  </r>
  <r>
    <x v="19"/>
    <d v="2022-12-31T00:00:00"/>
    <x v="720"/>
    <s v="Rochester "/>
    <s v="Olmsted"/>
    <s v="MN"/>
    <s v="Seer Medical, based in Melbourne, is engaged in a long-term research collaboration with Mayo Clinic experts and participated in the Mayo Clinic Platform_Accelerate program in 2022. As a result, in 2022, Seer established its first U.S. office in Rochester, and was recognized with the Governor’s International Investment Award. Seer could hire up to 20 new positions locally and nationally in the next year. Seer Medical has obtained U.S. Food and Drug Administration (FDA) approval of Seer Home™ for the diagnosis of epilepsy via multi-day video-EEG-ECG monitoring in 2022."/>
    <s v="OF"/>
    <m/>
    <n v="20"/>
    <x v="0"/>
    <m/>
    <x v="11"/>
    <x v="1"/>
    <s v="https://seermedical.com/uk/announcement/seer-medical-named-recipient-of-minnesota-governors-international-trade-award/"/>
    <s v="Company website"/>
    <s v="14 4th St SW suite 200"/>
    <n v="55902"/>
    <n v="44.019171999999998"/>
    <n v="-92.463688000000005"/>
    <m/>
    <m/>
    <m/>
    <m/>
    <m/>
    <m/>
    <m/>
    <m/>
    <s v="South"/>
    <x v="4"/>
  </r>
  <r>
    <x v="20"/>
    <d v="2023-01-03T00:00:00"/>
    <x v="721"/>
    <s v="Bloomington"/>
    <s v="Hennepin"/>
    <s v="MN"/>
    <s v="Schoenfelder Renovations Inc. in Hopkins closed Dec. 21 on the acquisition of a building. The building be their national headquarters, to support work in 46 states. Schoenfelder occupy most of one floor, and a new tenant will lease most of another floor."/>
    <s v="HQ, OF"/>
    <m/>
    <m/>
    <x v="0"/>
    <m/>
    <x v="0"/>
    <x v="11"/>
    <s v="https://finance-commerce.com/2023/01/just-sold-shoenfelder-renovations-buys-new-hq/"/>
    <s v="Finance &amp; Commerce"/>
    <s v="7808 Creekridge Circle"/>
    <n v="55439"/>
    <n v="44.861550000000001"/>
    <n v="-93.374184"/>
    <m/>
    <m/>
    <m/>
    <m/>
    <m/>
    <m/>
    <m/>
    <m/>
    <s v="Metro"/>
    <x v="5"/>
  </r>
  <r>
    <x v="20"/>
    <d v="2023-01-04T00:00:00"/>
    <x v="315"/>
    <s v="Plymouth"/>
    <s v="Hennepin"/>
    <s v="MN"/>
    <s v="Reprise Biomedical Inc., a Plymouth-based medical device company that develops technology to help treat wounds and strengthen soft tissue, has raised just over $13 million. The funds will be used to make hires and grow its manufacturing and inventory capabilities."/>
    <m/>
    <m/>
    <m/>
    <x v="0"/>
    <m/>
    <x v="11"/>
    <x v="1"/>
    <s v="https://www.bizjournals.com/twincities/inno/stories/fundings/2023/01/04/plymouth-based-company-raises-13m-medical-device.html"/>
    <s v="Minneapolis St Paul Business Journal"/>
    <s v="17400 Medina Rd #100"/>
    <n v="55447"/>
    <n v="45.023099999999999"/>
    <n v="-93.501030999999998"/>
    <s v="Venture Capital"/>
    <m/>
    <m/>
    <m/>
    <m/>
    <m/>
    <m/>
    <m/>
    <s v="Metro"/>
    <x v="5"/>
  </r>
  <r>
    <x v="20"/>
    <d v="2023-01-17T00:00:00"/>
    <x v="722"/>
    <s v="Minneapolis"/>
    <s v="Hennepin"/>
    <s v="MN"/>
    <s v="Husch Blackwell, a Kansas City, Mo.-based law firm with more than 20 offices across the U.S., plans to lease around 10,000 square feet of office space in downtown Minneapolis. The new office opened in the IDS Center in May 2023. They intend to hire around 15 attorneys to start, with plans to expand. In December, the firm announced it would add about 30 people, including 11 attorneys - doubling its count at the Minneapolis office."/>
    <s v="OF"/>
    <m/>
    <n v="60"/>
    <x v="0"/>
    <n v="10000"/>
    <x v="17"/>
    <x v="4"/>
    <s v="https://www.bizjournals.com/twincities/news/2023/01/17/husch-blackwell-looks-to-enter-minneapolis-market.html"/>
    <s v="Minneapolis St Paul Business Journal"/>
    <s v="80 S 8th St #4800"/>
    <n v="55402"/>
    <n v="44.975915000000001"/>
    <n v="-93.271825000000007"/>
    <m/>
    <m/>
    <m/>
    <m/>
    <m/>
    <s v="Kansas City"/>
    <s v="MO"/>
    <m/>
    <s v="Metro"/>
    <x v="5"/>
  </r>
  <r>
    <x v="20"/>
    <d v="2023-01-19T00:00:00"/>
    <x v="723"/>
    <s v="Eagan"/>
    <s v="Dakota"/>
    <s v="MN"/>
    <s v="Blue Cross and Blue Shield of Minnesota laid off about 80 staffers last week as part of reviewing its business operations. These staffers may be eligible for other positions in the company. After sanctions related to outsourcing, BCBS-MN is hiring 300-plus to manage enrollees in public insurance programs (e.g. Medicaid). The additional hiring has already started. Currently, Blue Cross employs about 3,025 people."/>
    <m/>
    <m/>
    <n v="220"/>
    <x v="0"/>
    <m/>
    <x v="36"/>
    <x v="6"/>
    <s v="https://www.startribune.com/after-outsourcing-trouble-blue-cross-of-minnesota-hiring-300-to-manage-public-insurance-enrollees/600244849/"/>
    <s v="Star Tribune"/>
    <s v="3400 Yankee Dr,"/>
    <n v="55121"/>
    <n v="44.833874000000002"/>
    <n v="-93.198974000000007"/>
    <m/>
    <m/>
    <m/>
    <m/>
    <m/>
    <m/>
    <m/>
    <m/>
    <s v="Metro"/>
    <x v="5"/>
  </r>
  <r>
    <x v="20"/>
    <d v="2023-01-19T00:00:00"/>
    <x v="724"/>
    <s v="Plymouth"/>
    <s v="Hennepin"/>
    <s v="MN"/>
    <s v="Honeywell International Inc. has plans to invest further in its Plymouth campus by constructing a new laboratory building where they will develop and build innovative weather-measurement equipment. The company plans to hire a handful of new employees to staff the lab and will likely start with two to three employees working in the space. The majority of the new space in the over 5,700-square-foot lab building would be used for manufacturing and laboratory work. The campus is home to the company’s aerospace arm."/>
    <s v="R&amp;D"/>
    <m/>
    <n v="5"/>
    <x v="0"/>
    <n v="5700"/>
    <x v="22"/>
    <x v="1"/>
    <s v="https://www.bizjournals.com/twincities/news/2023/01/19/honeywell-laboratory-expansion-in-plymouth.html"/>
    <s v="Minneapolis St Paul Business Journal"/>
    <s v="12001 Highway 55"/>
    <n v="55411"/>
    <n v="44.987650000000002"/>
    <n v="-93.431894"/>
    <m/>
    <m/>
    <m/>
    <m/>
    <m/>
    <s v="Charlotte"/>
    <s v="NC"/>
    <m/>
    <s v="Metro"/>
    <x v="5"/>
  </r>
  <r>
    <x v="20"/>
    <d v="2023-01-19T00:00:00"/>
    <x v="725"/>
    <s v="Anoka"/>
    <s v="Anoka"/>
    <s v="MN"/>
    <s v="Plymouth Plastics Inc. and TSI Plastics Inc. have been tenants in the same building in Blaine through 50 years. Now they are moving together to a new location in Anoka. _x000a_The companies paid $5.4 million for the 55,685-square-foot Class B building. The two buyers had been searching for more space for more than a year and the Anoka property had what they needed.  The property included a shop, eight furnished offices, 72 work stations, 24 training tables, projectors and screens, even fully equipped breakrooms, and other needed infrastructure. The two companies have roughly 60 workers combined. The closing was on Jan 1."/>
    <s v="MF"/>
    <m/>
    <m/>
    <x v="0"/>
    <m/>
    <x v="57"/>
    <x v="1"/>
    <s v="https://finance-commerce.com/2023/01/just-sold-plastics-companies-moving-to-anoka-together/"/>
    <s v="Finance &amp; Commerce"/>
    <s v=" 1100 McKinley St."/>
    <n v="55303"/>
    <n v="45.218159999999997"/>
    <n v="-93.415278999999998"/>
    <m/>
    <m/>
    <m/>
    <m/>
    <m/>
    <m/>
    <m/>
    <m/>
    <s v="Metro"/>
    <x v="5"/>
  </r>
  <r>
    <x v="20"/>
    <d v="2023-01-19T00:00:00"/>
    <x v="726"/>
    <s v="Arden Hills"/>
    <s v="Ramsey"/>
    <s v="MN"/>
    <s v="Saltbox Inc. provides co-warehousing suites to e-commerce entrepreneurs and is opening a 76,000-square-foot-facility in Arden Hills. The facility includes over 200 warehouse suites equipped with conference rooms, loading dock access and photo studios.  Saltbox has over 500 member businesses, with 70% being e-commerce companies selling physical goods directly to consumers. Nearly 75% of Saltbox member businesses are led by women or people of color. Saltbox has 10 other co-warehousing facilities in the United States. "/>
    <s v="DW"/>
    <m/>
    <m/>
    <x v="0"/>
    <n v="76000"/>
    <x v="0"/>
    <x v="2"/>
    <s v="https://www.bizjournals.com/twincities/news/2023/01/19/saltbox-co-warehouse-coming-to-arden-hills.html"/>
    <s v="Minneapolis St Paul Business Journal"/>
    <s v=" 4440 Round Lake Road W"/>
    <n v="55112"/>
    <n v="45.074550000000002"/>
    <n v="-93.184240000000003"/>
    <m/>
    <m/>
    <m/>
    <m/>
    <m/>
    <s v="Atlanta"/>
    <s v="GA"/>
    <m/>
    <s v="Metro"/>
    <x v="5"/>
  </r>
  <r>
    <x v="20"/>
    <d v="2023-01-19T00:00:00"/>
    <x v="727"/>
    <s v="Anoka"/>
    <s v="Anoka"/>
    <s v="MN"/>
    <s v="Plymouth Plastics Inc. and TSI Plastics Inc. have been tenants in the same building in Blaine through 50 years and two generations of family ownership. Now TSI Plastics and Plymouth Plastics are moving together to a new location in Anoka. The companies paid $5.4 million for the 55,685-square-foot Class B building, and closing was in January 2023, They had been searching for more space for over a year.  The property included a shop, eight furnished offices, 72 work stations, 24 training tables, projectors and screens."/>
    <s v="MF"/>
    <m/>
    <m/>
    <x v="0"/>
    <m/>
    <x v="57"/>
    <x v="1"/>
    <s v="https://finance-commerce.com/2023/01/just-sold-plastics-companies-moving-to-anoka-together/"/>
    <s v="Finance &amp; Commerce"/>
    <s v=" 1100 McKinley St."/>
    <n v="55303"/>
    <n v="45.218159999999997"/>
    <n v="-93.415278999999998"/>
    <m/>
    <m/>
    <m/>
    <m/>
    <m/>
    <m/>
    <m/>
    <m/>
    <s v="Metro"/>
    <x v="5"/>
  </r>
  <r>
    <x v="20"/>
    <d v="2023-01-23T00:00:00"/>
    <x v="366"/>
    <s v="Owatonna"/>
    <s v="Steele"/>
    <s v="MN"/>
    <s v="City of Owatonna: 1/2023 Report: Building permit issued 1/23/23 for New industrial construction at 315 32nd Ave NW, $5,000,000 valuation.  Background: 4/16/2020 Per City of Owatonna documents: Cemstone intends to build a new plant. City and Cemstone agreed to &quot;swap&quot; ownership of the site at 315 32nd Avenue Northwest in the Industrial Park with Cemstone’s current production site at 639 Riverside Avenue.  No cash is being exchanged, the City and 'Cemstone are “swapping” properties."/>
    <s v="MF"/>
    <n v="5000000"/>
    <m/>
    <x v="0"/>
    <m/>
    <x v="0"/>
    <x v="11"/>
    <s v="https://www.owatonna.gov/DocumentCenter/View/7722/January-2023-Detailed-Permit-Report-PDF?bidId="/>
    <s v="City of Owatonna"/>
    <s v=" 315 32nd Ave NW"/>
    <n v="55060"/>
    <n v="44.086930000000002"/>
    <n v="-93.265110000000007"/>
    <m/>
    <m/>
    <m/>
    <m/>
    <m/>
    <s v="Mendota Heights"/>
    <s v="MN"/>
    <m/>
    <s v="South"/>
    <x v="5"/>
  </r>
  <r>
    <x v="20"/>
    <d v="2023-01-23T00:00:00"/>
    <x v="728"/>
    <s v="Bloomington"/>
    <s v="Hennepin"/>
    <s v="MN"/>
    <s v="Construction Permit Description:  Expansion of existing office space into adjacent tenant. _x000a_Sensata Technologies Holding plc develops, manufactures, and sells sensors, sensor-based solutions, controls, and other products in the Americas, Europe, Asia, and internationally. It operates in two segments, Performance Sensing and Sensing Solutions. "/>
    <s v="OF"/>
    <n v="395700"/>
    <m/>
    <x v="0"/>
    <m/>
    <x v="23"/>
    <x v="1"/>
    <s v="https://www.bloomingtonmn.gov/bldg/permit-status-inspection-results-monthly-building-reports"/>
    <s v="City of Bloomington"/>
    <s v="5775 W OLD SHAKOPEE RD"/>
    <n v="55437"/>
    <n v="44.803137999999997"/>
    <n v="-93.355596000000006"/>
    <m/>
    <m/>
    <m/>
    <m/>
    <m/>
    <s v="Attleboro"/>
    <s v="MO"/>
    <m/>
    <s v="Metro"/>
    <x v="5"/>
  </r>
  <r>
    <x v="20"/>
    <d v="2023-01-24T00:00:00"/>
    <x v="729"/>
    <s v="Cottage Grove"/>
    <s v="Washington"/>
    <s v="MN"/>
    <s v="RJ Schinner, a Menomonee Falls, Wisconsin-based company, wants to build a 126,000-square-foot industrial building.The 12.66-acre site also includes room for a future 78,800-square-foot building. The first building could be finished in 2023. Predicted new jobs: 20 to 25 employees, could grow to up to 35. RJ Schinner provides distribution services for food service wholesalers, paper wholesalers and others. RJ Schinner has a location in Oakdale, with additional facilities in other states."/>
    <s v="DW"/>
    <m/>
    <n v="35"/>
    <x v="0"/>
    <n v="125000"/>
    <x v="0"/>
    <x v="10"/>
    <s v="https://finance-commerce.com/2023/01/distribution-company-plans-to-expand-in-cottage-grove/"/>
    <s v="Finance &amp; Commerce"/>
    <s v="7530 91st St. S"/>
    <n v="55016"/>
    <n v="44.818449999999999"/>
    <n v="-92.952702000000002"/>
    <m/>
    <m/>
    <m/>
    <m/>
    <m/>
    <s v="Tracy"/>
    <s v="CA"/>
    <m/>
    <s v="Metro"/>
    <x v="5"/>
  </r>
  <r>
    <x v="20"/>
    <d v="2023-01-26T00:00:00"/>
    <x v="730"/>
    <s v="Maple Grove"/>
    <s v="Hennepin"/>
    <s v="MN"/>
    <s v="Nextern is a a medical device design company. Referred to as Project Next in media articles in January 2023.  Edina-based Endeavor Development is developing a building that is just over 106,000 square feet. The company plans to move its HQ to Maple Grove. The building is scheduled to be completed in mid-2023. 188 existing jobs would move to the new Maple Grove location, with plans to add 75 jobs. The jobs are mainly engineering-related._x000a__x000a_DEED Awards 2023-Q1: JCF ($450K), MIF ($600K)"/>
    <s v="MF, RD"/>
    <n v="25000000"/>
    <n v="75"/>
    <x v="0"/>
    <n v="110000"/>
    <x v="11"/>
    <x v="1"/>
    <s v="https://www.bizjournals.com/twincities/news/2023/03/24/endeavor-arbor-lakes-business-park-industrial.html"/>
    <s v="Minneapolis St Paul Business Journal, DEED, Press and News"/>
    <s v=" 10601 Fountains Drive"/>
    <n v="55311"/>
    <n v="45.093266999999997"/>
    <n v="-93.450586999999999"/>
    <s v="Government"/>
    <s v="JCF ($450K), MIF ($600K)"/>
    <n v="1050000"/>
    <m/>
    <m/>
    <m/>
    <m/>
    <m/>
    <s v="Metro"/>
    <x v="5"/>
  </r>
  <r>
    <x v="20"/>
    <d v="2023-01-27T00:00:00"/>
    <x v="731"/>
    <s v="Hopkins"/>
    <s v="Hennepin"/>
    <s v="MN"/>
    <s v="Vivek Saxena founded Advisory Aerospace OSC, a Hopkins-based software-development and analytics service provider for complex-product manufacturers in 2017. Anticipating headcount and revenue growth over the next year, the company recently secured a nearly $1 million grant from the National Science Foundation. The software is already being used in 15 factories across 10 states. Looking ahead, the 12-person company intends to double its headcount within the next 12 to 18 months."/>
    <m/>
    <m/>
    <n v="12"/>
    <x v="0"/>
    <m/>
    <x v="25"/>
    <x v="9"/>
    <s v="https://www.bizjournals.com/twincities/inno/stories/news/2023/01/26/aerospace-exec-supply-chain-million-grant.html"/>
    <s v="Minneapolis St Paul Business Journal"/>
    <s v="33 10th Ave S Ste 150,"/>
    <n v="55343"/>
    <n v="44.952762999999997"/>
    <n v="-93.43723"/>
    <m/>
    <m/>
    <m/>
    <m/>
    <m/>
    <m/>
    <m/>
    <m/>
    <s v="Metro"/>
    <x v="5"/>
  </r>
  <r>
    <x v="20"/>
    <d v="2023-01-30T00:00:00"/>
    <x v="732"/>
    <s v="Rochester "/>
    <s v="Olmsted"/>
    <s v="MN"/>
    <s v="Mayo Clinic and Eclipse launched Nucleus RadioPharma with $6 million in financing in 2022. The focus of Nucleus RadioPharma is to develop technologies for the clinical development and manufacture of radiopharmaceuticals for the treatment of cancer. Nucleus plans to have manufacturing facilities in Rochester to continue working closely with Mayo Clinic. The project will finish 6,500 sqft of lab and manufacturing space and 3,500 sqft of office space at a cost of $5 million and will create 28 jobs within the first 2 years._x000a__x000a_DEED Awards 2023-Q1: JCF ($500K), MIF ($220K)"/>
    <s v="RD"/>
    <n v="5000000"/>
    <n v="28"/>
    <x v="0"/>
    <n v="10000"/>
    <x v="11"/>
    <x v="1"/>
    <s v="https://www.postbulletin.com/business/city-asks-for-220-000-state-grant-to-support-mayo-clinic-start-up"/>
    <s v="Post Bulletin, DEED"/>
    <m/>
    <n v="55901"/>
    <n v="44.075285000000001"/>
    <n v="-92.516915999999995"/>
    <s v="Government"/>
    <s v="JCF ($500K), MIF ($220K), JTIP ($145.55K)"/>
    <n v="865550"/>
    <m/>
    <m/>
    <m/>
    <m/>
    <m/>
    <s v="South"/>
    <x v="5"/>
  </r>
  <r>
    <x v="20"/>
    <d v="2023-01-31T00:00:00"/>
    <x v="611"/>
    <s v="Lakeville"/>
    <s v="Dakota"/>
    <s v="MN"/>
    <s v="A 168,000-square-foot warehouse/office building is planned to be constructed for Magnum Trucking on the southern lot, which is currently under construction. Expected Completion: January 2024"/>
    <s v="OF, WH"/>
    <m/>
    <m/>
    <x v="0"/>
    <n v="168000"/>
    <x v="54"/>
    <x v="3"/>
    <s v="https://www.lakevillemn.gov/DocumentCenter/View/12641/January-2023-PDF"/>
    <s v="City of Lakeville"/>
    <s v="21895 Jacquard Ave, "/>
    <n v="55044"/>
    <n v="44.632655"/>
    <n v="-93.270914000000005"/>
    <m/>
    <m/>
    <m/>
    <m/>
    <m/>
    <s v="Fargo"/>
    <s v="ND"/>
    <m/>
    <s v="Metro"/>
    <x v="5"/>
  </r>
  <r>
    <x v="20"/>
    <d v="2023-01-31T00:00:00"/>
    <x v="733"/>
    <s v="Faribault"/>
    <s v="Rice"/>
    <s v="MN"/>
    <s v="Vetrotech Saint-Gobain, a glass-manufacturing subsidiary of French construction materials giant Saint-Gobain, is relocating its North American headquarters to Faribault, MN, and will share the campus with Sage Glass, another Saint Gobain business. The new HQ will also be a $7 million, 10,000 sqft facility for glass processing and framing manufacturing and is expected to be completed in 2023. About  40 employees will work there. Some of employees will transfer from Auburn, WA, but Vetrotech plans to hire in new employees to work in key business functions in Faribault. "/>
    <s v="HQ, MF"/>
    <n v="7000000"/>
    <n v="40"/>
    <x v="0"/>
    <n v="10000"/>
    <x v="86"/>
    <x v="1"/>
    <s v="https://www.bizjournals.com/twincities/news/2023/01/31/vetrotech-saint-gobain-faribault-sageglass.html"/>
    <s v="Minneapolis St Paul Business Journal"/>
    <s v="2 Sage Way"/>
    <n v="55021"/>
    <n v="44.330658"/>
    <n v="-93.291892000000004"/>
    <m/>
    <m/>
    <m/>
    <s v="x"/>
    <s v="St Gobain"/>
    <s v="Courbevoie"/>
    <m/>
    <s v="France"/>
    <s v="South"/>
    <x v="5"/>
  </r>
  <r>
    <x v="20"/>
    <d v="2023-02-01T00:00:00"/>
    <x v="734"/>
    <s v="Bloomington"/>
    <s v="Hennepin"/>
    <s v="MN"/>
    <s v="All Flex had previously acquired the property at 1200 96th W and is in the process of building it out to expand manufacturing capacity. Their new facility is called the Rigid Flex Center of Excellence. All Flex plans a new flexible circuit manufacturing plant to increase its manufacturing capacity, as well as plating and final finishing processes.  Construction Permit Description: The proposed tenant improvement project consists of 22,280 sf of manufacturing fit out. "/>
    <s v="MF"/>
    <n v="4750000"/>
    <m/>
    <x v="0"/>
    <m/>
    <x v="23"/>
    <x v="1"/>
    <s v="https://www.bloomingtonmn.gov/bldg/permit-status-inspection-results-monthly-building-reports"/>
    <s v="City of Bloomington"/>
    <s v="9550 BLOOMINGTON FWY"/>
    <n v="55431"/>
    <n v="44.830478999999997"/>
    <n v="-93.295376000000005"/>
    <m/>
    <m/>
    <m/>
    <m/>
    <m/>
    <m/>
    <m/>
    <m/>
    <s v="Metro"/>
    <x v="5"/>
  </r>
  <r>
    <x v="20"/>
    <d v="2023-02-08T00:00:00"/>
    <x v="735"/>
    <s v="St Cloud"/>
    <s v="Benton"/>
    <s v="MN"/>
    <s v="AIT was approved for funding by the St. Cloud EDA. AIT plans to at least double the size of the machining shop on the southern side of its property. There is room for future expansion on the northern end of the property as well. AIT’s $3.8 million expansion will be partially funded by two grants. _x000a_DEED Awards 2023: JCF ($341.5K), MIF ($125K)"/>
    <s v="MF"/>
    <n v="3800000"/>
    <n v="20"/>
    <x v="0"/>
    <n v="5000"/>
    <x v="85"/>
    <x v="1"/>
    <s v="https://knsiradio.com/2023/02/08/366939/"/>
    <s v="KNSI Radio"/>
    <s v="128 Franklin Avenue Northeast"/>
    <n v="56304"/>
    <n v="45.570971"/>
    <n v="-94.143893000000006"/>
    <s v="Government"/>
    <s v="JCF ($341.5K), MIF ($125K)"/>
    <n v="466500"/>
    <m/>
    <m/>
    <m/>
    <m/>
    <m/>
    <s v="Central"/>
    <x v="5"/>
  </r>
  <r>
    <x v="20"/>
    <d v="2023-02-08T00:00:00"/>
    <x v="736"/>
    <s v="Minneapolis"/>
    <s v="Hennepin"/>
    <s v="MN"/>
    <s v="HATO provides the best lighting solutions for the agricultural sector (barns, facilities etc). Lighting solutions can help maintain or even increase agricultural production and animal welfare. Optimal light climate forms the basis for responsible and profitable livestock farming. HATO's new office in Minnesota will act as the central hub for HATO in the Americas, under which sales, service and delivery will take place, and represents a mechanism for expanding their growth and presence in the Americas ."/>
    <s v="OF"/>
    <m/>
    <m/>
    <x v="0"/>
    <m/>
    <x v="7"/>
    <x v="1"/>
    <s v="https://www.hato.lighting/en/hato-insights/latest-news/a-bright-future-for-farmers-with-hato-usa"/>
    <s v="Company website"/>
    <m/>
    <n v="55401"/>
    <n v="44.984577000000002"/>
    <n v="-93.269097000000002"/>
    <m/>
    <m/>
    <m/>
    <s v="x"/>
    <s v="HATO Lighting"/>
    <s v="Sittard"/>
    <m/>
    <s v="Netherlands"/>
    <s v="Metro"/>
    <x v="5"/>
  </r>
  <r>
    <x v="20"/>
    <d v="2023-02-10T00:00:00"/>
    <x v="737"/>
    <s v="Little Falls"/>
    <s v="Morrison"/>
    <s v="MN"/>
    <s v="Falls Fabricating is looking to expand. The metal fabricating company offers fabrication services in sheet metal, machined components and welded assemblies. Just two years after six employees purchased the business to ensure another company wouldn’t buy it and move jobs out of Little Falls, the new owners are hoping to add 40,000 square feet to their plant and add 20 new jobs. In order to do the expansion, Falls Fabricating would need to acquire adjacent parcels that currently owned by the Housing and Redevelopment Authority (HRA). Update: groundbreaking ceremony Sept. 2023_x000a_DEED AWARDS 2023-Q2: JCF $175K, MIF $190K"/>
    <s v="MF"/>
    <n v="15096125.630000001"/>
    <n v="32"/>
    <x v="0"/>
    <n v="40000"/>
    <x v="82"/>
    <x v="1"/>
    <s v="http://www.cdc.morrison.mn.us/news/p/item/48592/falls-fabricating-ready-to-grow-in-little-falls"/>
    <s v="Community Development Morrison County, DEED"/>
    <s v="600 9th Ave NW"/>
    <n v="56345"/>
    <n v="45.986955999999999"/>
    <n v="-94.378587999999993"/>
    <s v="Government"/>
    <s v="JCF $175K , MIF $190K"/>
    <n v="365000"/>
    <m/>
    <m/>
    <m/>
    <m/>
    <m/>
    <s v="Central"/>
    <x v="5"/>
  </r>
  <r>
    <x v="20"/>
    <d v="2023-02-13T00:00:00"/>
    <x v="738"/>
    <s v="Anoka"/>
    <s v="Anoka"/>
    <s v="MN"/>
    <s v="Graco is looking to nearly double their operating space in Anoka, with an investment of $46.5 million dollars.  The current expansion will occur on the west side of their existing building, extending the current facility by 176,000 square feet. Graco plans to add over 50 new jobs to its current 240. Construction expected to start Sept 2023. Expect opening the facility in summer 2024. The hiring process will ramp up upon construction completion._x000a__x000a_DEED Awards 2023-Q1: JCF ($737K), MIF ($250K)"/>
    <s v="MF, OF"/>
    <n v="46500000"/>
    <n v="50"/>
    <x v="0"/>
    <n v="176000"/>
    <x v="85"/>
    <x v="1"/>
    <s v="https://www.hometownsource.com/abc_newspapers/community/anoka/city-of-anoka-approves-funding-for-graco-expansion/article_7777559e-a803-11ed-b96f-ab7781873a59.html"/>
    <s v="ABC Newspapers"/>
    <s v="1201 Lund Blvd"/>
    <n v="55303"/>
    <n v="45.222994999999997"/>
    <n v="-93.416155000000003"/>
    <s v="Government"/>
    <s v="JCF ($737K), MIF ($250K)"/>
    <n v="987000"/>
    <m/>
    <m/>
    <m/>
    <m/>
    <m/>
    <s v="Metro"/>
    <x v="5"/>
  </r>
  <r>
    <x v="20"/>
    <d v="2023-02-14T00:00:00"/>
    <x v="739"/>
    <s v="Lakeville"/>
    <s v="Dakota"/>
    <s v="MN"/>
    <s v="International flexible-office space company IWG PLC is opening new Minnesota locations in Lakeville and Rochester under its Regus brand. Regus workspaces give tenants a choice of a variety of workstations in their facilities, as well as at any of their facilities across the globe. _x000a_IWG's new Regus workspace in Lakeville will be located in 8,100 square feet in a commercial building at 20721 Holyoke Ave. "/>
    <s v="OF"/>
    <m/>
    <m/>
    <x v="0"/>
    <n v="8100"/>
    <x v="0"/>
    <x v="2"/>
    <s v="https://www.bizjournals.com/twincities/news/2023/02/14/iwg-opens-two-new-coworking-spaces-in-twin-cities.html"/>
    <s v="Minneapolis St Paul Business Journal"/>
    <s v=" 20721 Holyoke Ave"/>
    <n v="55044"/>
    <n v="44.649242999999998"/>
    <n v="-93.243161999999998"/>
    <m/>
    <m/>
    <m/>
    <s v="x"/>
    <s v="IWG"/>
    <s v="Zug"/>
    <m/>
    <s v="Switzerland"/>
    <s v="Metro"/>
    <x v="5"/>
  </r>
  <r>
    <x v="20"/>
    <d v="2023-02-14T00:00:00"/>
    <x v="739"/>
    <s v="Rochester "/>
    <s v="Olmsted"/>
    <s v="MN"/>
    <s v="International flexible-office space company IWG PLC is opening new Minnesota locations in Lakeville and Rochester under its Regus brand. Regus workspaces give tenants a choice of a variety of workstations in their facilities, as well as at any of their facilities across the globe. _x000a_Its Rochester location, which reaches 6,000 square feet, is located within 318 Commons at 318 First Ave. SW"/>
    <s v="OF"/>
    <m/>
    <m/>
    <x v="0"/>
    <n v="6000"/>
    <x v="0"/>
    <x v="2"/>
    <s v="https://www.bizjournals.com/twincities/news/2023/02/14/iwg-opens-two-new-coworking-spaces-in-twin-cities.html"/>
    <s v="Minneapolis St Paul Business Journal"/>
    <s v=" 318 First Ave. SW"/>
    <n v="55902"/>
    <n v="44.019945"/>
    <n v="-92.464286999999999"/>
    <m/>
    <m/>
    <m/>
    <s v="x"/>
    <s v="IWG"/>
    <s v="Zug"/>
    <m/>
    <s v="Switzerland"/>
    <s v="South"/>
    <x v="5"/>
  </r>
  <r>
    <x v="20"/>
    <d v="2023-02-23T00:00:00"/>
    <x v="740"/>
    <s v="Edina"/>
    <s v="Hennepin"/>
    <s v="MN"/>
    <s v="Pivot Strategies, a fast-growing internal-communications agency, provides change management and internal communications for large companies with at least 30,000 employees. Pivot Strategies anticipates $11 million in revenue in 2023. The company debuted on the Business Journal’s Fast 50 list at No. 10 last year, and it also landed on the 2022 Inc. 5000 fastest-growing companies list. The firm plans to increase its headcount from 40 to about 60 employees in 2023."/>
    <m/>
    <m/>
    <n v="20"/>
    <x v="0"/>
    <m/>
    <x v="87"/>
    <x v="4"/>
    <s v="https://www.bizjournals.com/twincities/news/2023/02/23/pivot-strategies-leadership-growth-future.html"/>
    <s v="Minneapolis St Paul Business Journal"/>
    <s v="200 Southdale Center"/>
    <n v="55435"/>
    <n v="44.881745000000002"/>
    <n v="-93.323991000000007"/>
    <m/>
    <m/>
    <m/>
    <m/>
    <m/>
    <m/>
    <m/>
    <m/>
    <s v="Metro"/>
    <x v="5"/>
  </r>
  <r>
    <x v="20"/>
    <d v="2023-03-09T00:00:00"/>
    <x v="741"/>
    <s v="Bloomington"/>
    <s v="Hennepin"/>
    <s v="MN"/>
    <s v="Donaldson is a leading filtration products manufacturer. Construction Permit Description: Tenant Improvement. Existing Tenant. Existing Space. 3rd Floor Liquid Lab."/>
    <s v="R&amp;D"/>
    <n v="387880"/>
    <m/>
    <x v="0"/>
    <m/>
    <x v="85"/>
    <x v="1"/>
    <s v="https://www.bloomingtonmn.gov/bldg/permit-status-inspection-results-and-monthly-building-reports"/>
    <s v="City of Bloomington, Building Permit report"/>
    <s v="9301 JAMES AVE S"/>
    <n v="55431"/>
    <n v="44.835746"/>
    <n v="-93.299826999999993"/>
    <m/>
    <m/>
    <m/>
    <m/>
    <m/>
    <m/>
    <m/>
    <m/>
    <s v="Metro"/>
    <x v="5"/>
  </r>
  <r>
    <x v="20"/>
    <d v="2023-03-09T00:00:00"/>
    <x v="742"/>
    <s v="Bloomington"/>
    <s v="Hennepin"/>
    <s v="MN"/>
    <s v="Construction Permit Description: Aerospace and defense manufacturer General Dynamics is doing a buildout for the CUI (controlled unclassified information) lab space. Construction work consists of demo, drywall work, doors, new floors &amp; ceilings, HVAC fan coil units &amp; mods, new lighting &amp; electrical work &amp; drops, along with low voltage cabling."/>
    <s v="R&amp;D"/>
    <n v="745500"/>
    <m/>
    <x v="0"/>
    <m/>
    <x v="22"/>
    <x v="1"/>
    <s v="https://www.bloomingtonmn.gov/bldg/permit-status-inspection-results-and-monthly-building-reports"/>
    <s v="City of Bloomington"/>
    <s v="8800 QUEEN AVE S, BLOOMINGTON, MN 55431"/>
    <n v="55431"/>
    <n v="44.843409000000001"/>
    <n v="-93.312070000000006"/>
    <m/>
    <m/>
    <m/>
    <m/>
    <m/>
    <s v="Reston"/>
    <s v="VA"/>
    <m/>
    <s v="Metro"/>
    <x v="5"/>
  </r>
  <r>
    <x v="20"/>
    <d v="2023-03-10T00:00:00"/>
    <x v="743"/>
    <s v="Eden Prairie"/>
    <s v="Hennepin"/>
    <s v="MN"/>
    <s v="Eden Prairie aerospace contractor Ion Corp. to expand in north Minneapolis_x000a_Company plans to spend more than $30 million on the new factory on W. Broadway that will be 113,000 square feet.  Ion has 80 employees. The factory will create another 110 jobs.  Ground breaking expected in Oct. 2024, with completion in 2026."/>
    <s v="MF"/>
    <n v="30000000"/>
    <n v="110"/>
    <x v="0"/>
    <n v="113000"/>
    <x v="22"/>
    <x v="1"/>
    <s v="https://www.startribune.com/eden-prairie-aerospace-contractor-ion-corp-will-expand-in-north-minneapolis/600257924/"/>
    <s v="Star Tribune"/>
    <s v="229 W Broadway Ave"/>
    <n v="55411"/>
    <n v="44.998835999999997"/>
    <n v="-93.281426999999994"/>
    <m/>
    <m/>
    <m/>
    <m/>
    <m/>
    <m/>
    <m/>
    <m/>
    <s v="Metro"/>
    <x v="5"/>
  </r>
  <r>
    <x v="20"/>
    <d v="2023-03-14T00:00:00"/>
    <x v="744"/>
    <s v="Brooklyn Park"/>
    <s v="Hennepin"/>
    <s v="MN"/>
    <s v="Gray Tools is the only industrial-quality manufacturer of hand tools in Canada. Gray Tools is improving its U.S. distribution by adding warehouse space in Brooklyn Park, Minnesota, a suburb of Minneapolis, which will grow its e-commerce business. This strategic location will carry a large inventory to help expedite delivery to customers across the U.S. with faster routes and same-day shipping capabilities."/>
    <s v="DW"/>
    <m/>
    <m/>
    <x v="0"/>
    <m/>
    <x v="82"/>
    <x v="1"/>
    <s v="https://www.inddist.com/company-expansion-consolidation/news/22766310/gray-tools-adds-minnesota-warehouse"/>
    <s v="Industrial Distribution (www.inddist.com)"/>
    <m/>
    <n v="55443"/>
    <n v="45.100481000000002"/>
    <n v="-93.344358999999997"/>
    <m/>
    <m/>
    <m/>
    <s v="Yes"/>
    <s v="Gray Tools"/>
    <s v="Brampton"/>
    <s v="Ontario"/>
    <s v="CANADA"/>
    <s v="Metro"/>
    <x v="5"/>
  </r>
  <r>
    <x v="20"/>
    <d v="2023-03-14T00:00:00"/>
    <x v="745"/>
    <s v="Bloomington"/>
    <s v="Hennepin"/>
    <s v="MN"/>
    <s v="Savillex manufactures custom rigid plastic containers and provides injection molding and other engineered services. Bloomington Construction permit: Tenant improvement - existing office space demolition. Exposing ceiling for new warehouse space. Adding new overhead door for back of house."/>
    <s v="DW"/>
    <n v="310327"/>
    <m/>
    <x v="0"/>
    <m/>
    <x v="57"/>
    <x v="1"/>
    <s v="https://www.bloomingtonmn.gov/bldg/permit-status-inspection-results-and-monthly-building-reports"/>
    <s v="City of Bloomington"/>
    <s v="10900 HAMPSHIRE AVE S, BLOOMINGTON, MN 55438"/>
    <n v="55438"/>
    <n v="44.805498"/>
    <n v="-93.370191000000005"/>
    <m/>
    <m/>
    <m/>
    <m/>
    <m/>
    <m/>
    <m/>
    <m/>
    <s v="Metro"/>
    <x v="5"/>
  </r>
  <r>
    <x v="20"/>
    <d v="2023-03-17T00:00:00"/>
    <x v="746"/>
    <s v="Burnsville"/>
    <s v="Dakota"/>
    <s v="MN"/>
    <s v="Grand Forks, North Dakota-based tool retailer Acme Tools has opened a large distribution center in Burnsville to support its e-commerce division. The 115,888-square-foot distribution center is located in a newly constructed industrial warehouse development on Dupont Avenue off Interstate Highway 35W and Minnesota Highway 13. Acme said that the leased distribution center will increasing their online ordering capabilities and reduce transit times for online orders. "/>
    <s v="DW"/>
    <m/>
    <m/>
    <x v="0"/>
    <n v="115888"/>
    <x v="0"/>
    <x v="8"/>
    <s v="https://www.bizjournals.com/twincities/news/2023/03/17/acme-tools-online-retailer-burnsville-distribution.html"/>
    <m/>
    <s v="Dupont Avenue and Ladybird Lane."/>
    <n v="55337"/>
    <n v="44.776609000000001"/>
    <n v="-93.297257000000002"/>
    <m/>
    <m/>
    <m/>
    <m/>
    <m/>
    <s v="Grand Forks"/>
    <s v="ND"/>
    <m/>
    <s v="Metro"/>
    <x v="5"/>
  </r>
  <r>
    <x v="20"/>
    <d v="2023-03-20T00:00:00"/>
    <x v="747"/>
    <s v="North Mankato"/>
    <s v="Nicollet"/>
    <s v="MN"/>
    <s v="Gordini a cold weather specialty apparel manufacturing company is interested in purchasing land to build a 120,000 sqft warehouse and distribution center. The land is 10.72 acres at corner of Lookout Drive and Timm Road will cost $696,800. The facility would be 90% warehouse with a small office area. Expect to hire up to 60 people within 5 years. Total project cost: $12.9 million for new construction and site improvements. Grand Opening: May 2024._x000a__x000a_DEED Awards 2023-Q1: JCF ($800K), MIF ($210K). North Mankato TIF ($2.1M)"/>
    <s v="WH"/>
    <n v="12910340"/>
    <n v="60"/>
    <x v="0"/>
    <n v="120000"/>
    <x v="46"/>
    <x v="1"/>
    <s v="https://www.northmankato.com/sites/default/files/meeting-packets/3_20_23_Port_Authority_Packet_1.pdf"/>
    <s v="City of North Mankato"/>
    <m/>
    <n v="56003"/>
    <n v="44.173299999999998"/>
    <n v="-94.033844999999999"/>
    <s v="Government"/>
    <s v="JCF ($800K), MIF ($210K), TIF ($2.1M)"/>
    <n v="3110000"/>
    <m/>
    <s v="Renault Group"/>
    <s v="Boulogne-Billancourt"/>
    <m/>
    <s v="France"/>
    <s v="South"/>
    <x v="5"/>
  </r>
  <r>
    <x v="20"/>
    <d v="2023-03-21T00:00:00"/>
    <x v="646"/>
    <s v="Minneapolis"/>
    <s v="Hennepin"/>
    <s v="MN"/>
    <s v="Health care startup Gravie raised $179 million in equity investment from New York-based General Atlantic and existing investors. Growth is the focus for Gravie, which has increased its employee count – now at about 300 full-time employees – by 200% since the beginning of 2022. The company is planning to hire an additional 75 employees or so this year. Gravie helps small- and medium-sized provide health insurance for their employees through their flagship product called Comfort. "/>
    <m/>
    <m/>
    <n v="75"/>
    <x v="0"/>
    <m/>
    <x v="36"/>
    <x v="6"/>
    <s v="https://www.bizjournals.com/twincities/inno/stories/fundings/2023/03/21/health-benefits-gravie-investment-millions.html?utm_source=st&amp;utm_medium=en&amp;utm_campaign=inno&amp;ana=e_n&amp;utm_content=mn"/>
    <s v="Minneapolis St Paul Business Journal"/>
    <s v="10 NE 2nd St UNIT 300"/>
    <n v="55413"/>
    <n v="44.987501000000002"/>
    <n v="-93.258700000000005"/>
    <s v="Venture Capital"/>
    <m/>
    <m/>
    <m/>
    <m/>
    <m/>
    <m/>
    <m/>
    <s v="Metro"/>
    <x v="5"/>
  </r>
  <r>
    <x v="20"/>
    <d v="2023-03-24T00:00:00"/>
    <x v="748"/>
    <s v="Fergus Falls"/>
    <s v="Otter Tail"/>
    <s v="MN"/>
    <s v="SCR Solutions is a food-safe custom equipment fabricator for food manufacttring and food services industries. Their products are Safe, Clean, and Reliable (SCR). SCR is looking to expand in Fergus Falls. The proposed project is construction of a new 10,000 square foot addition to handle expected growth. The total project cost is $1,084,000 and expects to create 8 jobs within the first 3 years._x000a__x000a_DEED Awards 2023-Q1: JCF ($160K)"/>
    <s v="MF"/>
    <n v="1084000"/>
    <n v="8"/>
    <x v="0"/>
    <n v="10000"/>
    <x v="85"/>
    <x v="1"/>
    <s v="https://fergusnow.com/2023/07/12/scr-solutions-broke-ground-expansion/"/>
    <s v="DEED, Fergus Now"/>
    <s v="1007 N. Tower Road"/>
    <n v="56537"/>
    <n v="46.293857000000003"/>
    <n v="-96.094626000000005"/>
    <s v="Government"/>
    <s v="JCF"/>
    <n v="160000"/>
    <s v="x"/>
    <m/>
    <m/>
    <m/>
    <m/>
    <s v="Central"/>
    <x v="5"/>
  </r>
  <r>
    <x v="20"/>
    <d v="2023-03-29T00:00:00"/>
    <x v="73"/>
    <s v="Esko"/>
    <s v="Carlton"/>
    <s v="MN"/>
    <s v="Essentia Health is proposing to build a new warehouse in Esko's industrial park._x000a_The decision came from Essentia evaluating its supply chain and the lease on its current 50,000-square-foot building in West Duluth expiring in 2024. The new warehouse is slated to be 163,000 square feet. Groundbreaking is expected_x000a_for summer 2023, with an expected occupancy date in late 2024. Around 20-25 people will be employed at the warehouse, including staff from the West Duluth Building"/>
    <s v="DW"/>
    <m/>
    <m/>
    <x v="0"/>
    <n v="163000"/>
    <x v="40"/>
    <x v="0"/>
    <s v="https://www.pinejournal.com/news/local/essentia-health-to-bring-new-warehouse-to-esko"/>
    <m/>
    <m/>
    <n v="55733"/>
    <n v="46.696275"/>
    <n v="-92.364959999999996"/>
    <m/>
    <m/>
    <m/>
    <m/>
    <m/>
    <m/>
    <m/>
    <m/>
    <s v="North"/>
    <x v="5"/>
  </r>
  <r>
    <x v="20"/>
    <d v="2023-03-30T00:00:00"/>
    <x v="749"/>
    <s v="Plymouth"/>
    <s v="Hennepin"/>
    <s v="MN"/>
    <s v="CFMoto, a high-end motorcycle and ATV manufacturer, plans to significantly expand in Plymouth, its U.S. headquarters. The company, originally founded in China, will relocate from a leased space at Plymouth Ponds Business Park to northeast Plymouth where it is currently constructing a new 100,000-square-foot, facility that it will own. CFMoto plans to increase its workforce in Plymouth from 40 to 84 employees within 3 years. Total poject cost: $25.5 million._x000a__x000a_DEED MIF award: $340,000."/>
    <s v="MF"/>
    <n v="25505731"/>
    <n v="44"/>
    <x v="0"/>
    <n v="100000"/>
    <x v="22"/>
    <x v="1"/>
    <s v="https://ccxmedia.org/news/plymouths-cfmoto-powersports-plans-to-double-workforce/"/>
    <m/>
    <s v="Schmidt Lake Road and Highway 169."/>
    <n v="55441"/>
    <n v="45.010519000000002"/>
    <n v="-93.455509000000006"/>
    <s v="Government"/>
    <s v="MIF"/>
    <n v="340000"/>
    <m/>
    <s v="CFMoto"/>
    <s v="Hangzhou"/>
    <m/>
    <s v="China"/>
    <s v="Metro"/>
    <x v="5"/>
  </r>
  <r>
    <x v="20"/>
    <d v="2023-03-31T00:00:00"/>
    <x v="750"/>
    <s v="Burnsville"/>
    <s v="Dakota"/>
    <s v="MN"/>
    <s v=" Burnsville-based Genz-Ryan, an HVAC and plumbing company, launched a free, 12-week program for students to train in HVAC services. Genz-Ryan underwent a build-out,  investing $500,000 in a 15,000-square-foot space in its headquarters to house the Jack Ryan Academy. The new facility includes meeting room space, classroom space and lab space. With a total of eight graduates in the current graduating cohort, the company hopes to see about 40 to 50 students in the next cohort."/>
    <s v="Other"/>
    <n v="500000"/>
    <m/>
    <x v="0"/>
    <n v="15000"/>
    <x v="85"/>
    <x v="1"/>
    <s v="https://www.bizjournals.com/twincities/news/2023/03/31/hvac-genz-ryan-training-program-worker-shortage.html"/>
    <s v="Minneapolis St Paul Business Journal"/>
    <s v="2200 Hwy 13 W"/>
    <n v="55337"/>
    <n v="44.730944000000001"/>
    <n v="-93.291381000000001"/>
    <m/>
    <m/>
    <m/>
    <m/>
    <m/>
    <m/>
    <m/>
    <m/>
    <s v="Metro"/>
    <x v="5"/>
  </r>
  <r>
    <x v="21"/>
    <d v="2023-04-03T00:00:00"/>
    <x v="751"/>
    <s v="Fridley"/>
    <s v="Anoka"/>
    <s v="MN"/>
    <s v="Over half of all medium- and heavy-duty trucks on the road in the U.S. today use Cummins engines.  The Cummins' Fridley facility will soon manufacture electrolyzers, which are a critical piece of the green hydrogen economy and brings the supply chain for zero-emissions vehicles to the U.S. This $10 million investment will support 100 new jobs._x000a_U.S. DOE announced that Cummins' Fridley plant will receive $10.6 million in tax credits (due to IRA) for large-scale proton-exchange membrane electrolyzer manufacturing and testing."/>
    <s v="MF"/>
    <n v="10000000"/>
    <n v="100"/>
    <x v="0"/>
    <m/>
    <x v="85"/>
    <x v="1"/>
    <s v="https://investor.cummins.com/news/detail/605/cummins-announces-investments-of-more-than-1-billion"/>
    <s v="Company website"/>
    <s v="1400 73rd Ave NE"/>
    <n v="55432"/>
    <n v="45.098626000000003"/>
    <n v="-93.233737000000005"/>
    <m/>
    <m/>
    <m/>
    <m/>
    <m/>
    <m/>
    <m/>
    <m/>
    <s v="Metro"/>
    <x v="5"/>
  </r>
  <r>
    <x v="21"/>
    <d v="2023-04-04T00:00:00"/>
    <x v="752"/>
    <s v="Minneapolis"/>
    <s v="Hennepin"/>
    <s v="MN"/>
    <s v="In January 2023, Frank Brown moved his company, Minuteman Press Uptown to North Minneapolis. The move came with an expansion, from a 2,400-square-foot warehouse with four employees, to a 30,000-square-foot building that Brown bought last year. Half of the building will be used for the printing business, and the remainder lease. The new 15,000 sqft space includes 11,000 square feet of space filled with digital printing equipment used to fulfill commercial orders. They currently employ 12 people."/>
    <s v="WH, OF"/>
    <n v="2550000"/>
    <n v="8"/>
    <x v="0"/>
    <n v="15000"/>
    <x v="42"/>
    <x v="1"/>
    <s v="https://www.bizjournals.com/twincities/news/2023/04/04/minuteman-press-uptown-frank-brown.html"/>
    <s v="Minneapolis St Paul Business Journal"/>
    <s v="4024 N. Washington Ave"/>
    <n v="55412"/>
    <n v="45.028075000000001"/>
    <n v="-93.284914000000001"/>
    <m/>
    <m/>
    <m/>
    <m/>
    <m/>
    <m/>
    <m/>
    <m/>
    <s v="Metro"/>
    <x v="5"/>
  </r>
  <r>
    <x v="21"/>
    <d v="2023-04-04T00:00:00"/>
    <x v="753"/>
    <s v="Roseville"/>
    <s v="Ramsey"/>
    <s v="MN"/>
    <s v="Melbourne, Australia-based digital imaging company Optiscan Imaging will open its first U.S. operation in Roseville, Minnesota. Optiscan is a manufacturer of “endomicroscopic” digital imaging technology, which enables physicians to scan patients at the cellular level in real time. Optiscan's prior meeting with Medical Alley motivated the new office. Optiscan plans to hire just one full-time employee in Minnesota for now, but expects to add more as the business grows."/>
    <s v="OF"/>
    <m/>
    <n v="1"/>
    <x v="0"/>
    <m/>
    <x v="11"/>
    <x v="1"/>
    <s v="https://tcbmag.com/australian-med-tech-firm-to-open-minnesota-office/"/>
    <s v="Twin Cities Business "/>
    <s v="2345 Rice Street Suite 230"/>
    <n v="55113"/>
    <n v="45.011606"/>
    <n v="-93.106486000000004"/>
    <m/>
    <m/>
    <m/>
    <s v="x"/>
    <s v="Optiscan Imaging"/>
    <s v="Melbourne"/>
    <m/>
    <s v="Australia"/>
    <s v="Metro"/>
    <x v="5"/>
  </r>
  <r>
    <x v="21"/>
    <d v="2023-04-07T00:00:00"/>
    <x v="680"/>
    <s v="Bloomington"/>
    <s v="Hennepin"/>
    <s v="MN"/>
    <s v="Toro is a leading worldwide provider of innovative solutions for the outdoor environment including turf and landscape maintenance. Building permit description: Remodel and general updating of a commerical office space."/>
    <s v="OF"/>
    <n v="3000000"/>
    <m/>
    <x v="0"/>
    <m/>
    <x v="85"/>
    <x v="1"/>
    <s v="https://www.bloomingtonmn.gov/bldg/permit-status-inspection-results-monthly-building-reports"/>
    <s v="City of Bloomington"/>
    <s v="8111 LYNDALE AVE S"/>
    <n v="55420"/>
    <n v="44.857785999999997"/>
    <n v="-93.287079000000006"/>
    <m/>
    <m/>
    <m/>
    <m/>
    <m/>
    <m/>
    <m/>
    <m/>
    <s v="Metro"/>
    <x v="5"/>
  </r>
  <r>
    <x v="21"/>
    <d v="2023-04-07T00:00:00"/>
    <x v="610"/>
    <s v="Bloomington"/>
    <s v="Hennepin"/>
    <s v="MN"/>
    <s v="Thermo King is a global leader in transport refrigeration and heating for trailers, trucks, buses, rail cars and shipboard containers. Building permit description:  Reconfigure existing office space to new A2L refrigerant storage room. Provide Mechanical and electrical infrastructure for new calorimeter. Patch and repair existing 2HR wall as needed to meet rating. Install of new AHU and VRF system."/>
    <s v="MF, OF"/>
    <n v="1069573"/>
    <m/>
    <x v="0"/>
    <m/>
    <x v="54"/>
    <x v="3"/>
    <s v="https://www.bloomingtonmn.gov/bldg/permit-status-inspection-results-monthly-building-reports"/>
    <s v="City of Bloomington"/>
    <s v="314 W 90TH ST"/>
    <n v="55420"/>
    <n v="44.842655000000001"/>
    <n v="-93.284991000000005"/>
    <m/>
    <m/>
    <m/>
    <m/>
    <s v="Trane Technologies"/>
    <s v="Swords"/>
    <m/>
    <s v="Ireland"/>
    <s v="Metro"/>
    <x v="5"/>
  </r>
  <r>
    <x v="21"/>
    <d v="2023-04-17T00:00:00"/>
    <x v="754"/>
    <s v="St Cloud"/>
    <s v="Stearns"/>
    <s v="MN"/>
    <s v="Essilor Laboratories is an optical lenses manufacturer. Building permit for Interior Remodel"/>
    <s v="MF"/>
    <n v="350000"/>
    <m/>
    <x v="0"/>
    <m/>
    <x v="11"/>
    <x v="1"/>
    <s v="https://www.ci.stcloud.mn.us/DocumentCenter/View/24638/April-2023"/>
    <s v="City of St Cloud"/>
    <s v="6650 SAUKVIEW DR"/>
    <n v="56303"/>
    <n v="45.560004999999997"/>
    <n v="-94.244058999999993"/>
    <m/>
    <m/>
    <m/>
    <m/>
    <m/>
    <s v="Charenton-le-Pont"/>
    <m/>
    <s v="France"/>
    <s v="Central"/>
    <x v="5"/>
  </r>
  <r>
    <x v="21"/>
    <d v="2023-04-18T00:00:00"/>
    <x v="755"/>
    <s v="Rochester "/>
    <s v="Olmsted"/>
    <s v="MN"/>
    <s v="Running two production shifts, Emcor Enclosures makes and sells a catalog of 8,000 types of metal cabinets and boxes as well as custom-made products for its clients. About 70% of our business is for the defense industry.  Since 2021, Emcor has grown from employing 50 workers to 75, and expects to grow to 100 employees by the start of 2024. The company is currently looking for more welders, and is adding about 17,000 square feet this summer, and by fall will have an almost 100,000-square-foot facility."/>
    <s v="MF"/>
    <m/>
    <n v="25"/>
    <x v="0"/>
    <n v="17000"/>
    <x v="85"/>
    <x v="1"/>
    <s v="https://www.postbulletin.com/business/rochester-manufacturer-emcor-is-growing-under-its-new-owner"/>
    <s v="Post Bulletin"/>
    <s v="2900 37th St NW"/>
    <n v="55901"/>
    <n v="44.059460000000001"/>
    <n v="-92.507277999999999"/>
    <m/>
    <m/>
    <m/>
    <m/>
    <m/>
    <m/>
    <m/>
    <m/>
    <s v="South"/>
    <x v="5"/>
  </r>
  <r>
    <x v="21"/>
    <d v="2023-04-18T00:00:00"/>
    <x v="756"/>
    <s v="Saint Paul"/>
    <s v="Ramsey"/>
    <s v="MN"/>
    <s v="Defense contractor Lockheed Martin plans a microelectronics subsidiary that would bring more than 100 well-paying jobs. The subsidiary ForwardEdge ASIC has signed a lease up to 70,000 sqft of lab and office space in Saint Paul as part of a $60 million investment. ForwardEdge ASIC functions as an ASIC “design center of excellence&quot;. ForwardEdge has begun recruiting new employees and will also connect with local universities. Lockheed Martin considered multiple U.S. sites for this project but ultimately chose to expand in Saint Paul. _x000a_DEED AWARDS JCF $500K, MIF $800K"/>
    <s v="OF, RD"/>
    <n v="60000000"/>
    <n v="113"/>
    <x v="0"/>
    <n v="70000"/>
    <x v="7"/>
    <x v="1"/>
    <s v="https://finance-commerce.com/2023/04/lockheed-martin-entity-looks-to-expand-in-twin-cities/"/>
    <m/>
    <s v="2340 Energy Park Drive"/>
    <n v="55108"/>
    <n v="44.974930000000001"/>
    <n v="-93.199999000000005"/>
    <s v="Government"/>
    <s v="MIF $800K, JCF $500K"/>
    <n v="1300000"/>
    <m/>
    <m/>
    <m/>
    <m/>
    <m/>
    <s v="Metro"/>
    <x v="5"/>
  </r>
  <r>
    <x v="21"/>
    <d v="2023-04-19T00:00:00"/>
    <x v="757"/>
    <s v="Blaine"/>
    <s v="Anoka"/>
    <s v="MN"/>
    <s v="Blaine35, a three-building business park with a combined 317,400 square feet of space, is fully leased. The business park, developed by Artis REIT of Winnipeg, is at 8611, 8700, and 8650 West 35W Service Drive NE in Blaine. CBRE said it recently landed two new tenants — Action Target and Aspect Automation — which bring the park to 100% occupancy._x000a__x000a_Beginning in May, shooting range equipment manufacturer Action Target plans to occupy 31,120 square feet in Building A - likely for distribution."/>
    <s v="DW"/>
    <m/>
    <m/>
    <x v="0"/>
    <n v="31120"/>
    <x v="85"/>
    <x v="1"/>
    <s v="https://finance-commerce.com/2023/04/blaine-business-park-fully-leased/"/>
    <m/>
    <s v="8611 W 35W Service Dr NE Suite 150"/>
    <n v="55449"/>
    <n v="45.124870999999999"/>
    <n v="-93.189707999999996"/>
    <m/>
    <m/>
    <m/>
    <m/>
    <m/>
    <s v="Provo"/>
    <s v="UT"/>
    <m/>
    <s v="Metro"/>
    <x v="5"/>
  </r>
  <r>
    <x v="21"/>
    <d v="2023-04-19T00:00:00"/>
    <x v="758"/>
    <s v="Blaine"/>
    <s v="Anoka"/>
    <s v="MN"/>
    <s v="The Blaine35 business park recently landed two new tenants — Action Target and Aspect Automation.  NOV 2023: Aspect Automation is now part of Ascential Technologies - based in Grand Rapids, MI. Ascential held a ribbon-cutting ceremony for its new state-of-the-art facility that will employ 150 people. Ascential's Blaine facility will specialize in developing custom manufacturing machinery  and solutions designed specifically for medical and life science companies."/>
    <s v="MF"/>
    <m/>
    <n v="150"/>
    <x v="0"/>
    <n v="100000"/>
    <x v="85"/>
    <x v="1"/>
    <s v="https://finance-commerce.com/2023/04/blaine-business-park-fully-leased/"/>
    <s v="Finance &amp; Commerce"/>
    <s v="8700 W 35W Service Dr. NE"/>
    <n v="55449"/>
    <n v="45.124870999999999"/>
    <n v="-93.189707999999996"/>
    <m/>
    <m/>
    <m/>
    <m/>
    <m/>
    <m/>
    <m/>
    <m/>
    <s v="Metro"/>
    <x v="5"/>
  </r>
  <r>
    <x v="21"/>
    <d v="2023-04-21T00:00:00"/>
    <x v="759"/>
    <s v="Saint Paul"/>
    <s v="Ramsey"/>
    <s v="MN"/>
    <s v="Xcel Energy Inc. plans to buy a 20-acre parcel in The Heights, the former Hillcrest Golf Course in St. Paul. The site will be the home for a new East Metro Service Center facility to replace the 325-person Rice Street Service Center in St. Paul. The new center will be twice the size of the current one; continue to support Xcel's natural gas and distribution operations; and 1 include a training center and space for electric-vehicle charging stations. _x000a_Construction will begin n spring 2024 and be completed in late 2025."/>
    <s v="OF"/>
    <m/>
    <m/>
    <x v="0"/>
    <m/>
    <x v="0"/>
    <x v="17"/>
    <s v="https://www.bizjournals.com/twincities/news/2023/04/21/xcel-heights-hillcrest-service-center.html"/>
    <s v="Minneapolis St Paul Business Journal"/>
    <s v="2200 Larpenteur Ave E"/>
    <n v="55109"/>
    <n v="44.990777000000001"/>
    <n v="-93.008421999999996"/>
    <m/>
    <m/>
    <m/>
    <m/>
    <m/>
    <m/>
    <m/>
    <m/>
    <s v="Metro"/>
    <x v="5"/>
  </r>
  <r>
    <x v="21"/>
    <d v="2023-04-26T00:00:00"/>
    <x v="760"/>
    <s v="Fridley"/>
    <s v="Anoka"/>
    <s v="MN"/>
    <s v="Plunkett’s Pest Control recently completed an expansion project that doubled the site of their warehouse to 28,000 square feet.  The expansion gives the company and its wildlife division “more room to service their ever-growing footprint in the Midwest.” The project was a “partnership” between Plunkett’s, the city of Fridley, and others.. _x000a_Founded in 1915 in Minneapolis, the company delivers pest and wildlife control services to 70,000 residential and commercial clients in nearly 20 states."/>
    <s v="WH"/>
    <m/>
    <m/>
    <x v="0"/>
    <n v="14000"/>
    <x v="0"/>
    <x v="5"/>
    <s v="https://finance-commerce.com/2023/04/plunketts-expands-fridley-warehouse/"/>
    <m/>
    <s v="5150 Industrial Blvd NE"/>
    <n v="55421"/>
    <n v="45.062750000000001"/>
    <n v="-93.275000000000006"/>
    <m/>
    <m/>
    <m/>
    <m/>
    <m/>
    <m/>
    <m/>
    <m/>
    <s v="Metro"/>
    <x v="5"/>
  </r>
  <r>
    <x v="21"/>
    <d v="2023-04-26T00:00:00"/>
    <x v="407"/>
    <s v="Bloomington"/>
    <s v="Hennepin"/>
    <s v="MN"/>
    <s v="Polar Semiconductor is expanding in Bloomington (Hennepin County). The company makes wafer products at its semiconductor fabrication facility. The project would expand and make improvements to its cleanroom manufacturing space, add automation equipment and modernize the facility. The total project cost is $525 million. It will create 160 new jobs._x000a_DEED AWARDS MIF $4M, JCF $800K_x000a_Updated data 8/2024 since initial announcement: $525 M total cost, with $123M from US CHIPS and $75 M from MN Forward Fund. 160 new jobs"/>
    <s v="MF"/>
    <n v="525000000"/>
    <n v="160"/>
    <x v="0"/>
    <m/>
    <x v="81"/>
    <x v="1"/>
    <s v="https://mn.gov/deed/about/meetings-events/public-meetings.jsp?trumbaEmbed=view%3Devent%26eventid%3D166456276"/>
    <s v="DEED"/>
    <s v="2800 E Old Shakopee Rd,"/>
    <n v="55425"/>
    <n v="44.853470999999999"/>
    <n v="-93.230999999999995"/>
    <s v="Government"/>
    <s v="JCF $800K, MIF $4M, CHIPS $120M, Forward Fund $75M, MJSP $365,000"/>
    <n v="200165000"/>
    <m/>
    <s v="Sanken Electric"/>
    <s v="Niiza"/>
    <m/>
    <s v="Japan"/>
    <s v="Metro"/>
    <x v="5"/>
  </r>
  <r>
    <x v="21"/>
    <d v="2023-04-28T00:00:00"/>
    <x v="761"/>
    <s v="Brooklyn Park"/>
    <s v="Hennepin"/>
    <s v="MN"/>
    <s v="Minneapolis Glass Co., a woman-owned glass and glazing fabrication business, broke ground this week on its future corporate headquarters at 610 Junction – West in Brooklyn Park. Established in 1937, Minneapolis Glass provides manufacturing, installation and distribution services. The new facility includes space for glass and metal fabrication, distribution, offices and a consumer showroom. Broke Ground May 2023. Expected to open in 2024. Consolidates operations and expands footprint by 40,000 sqft, to 115,000 sqft"/>
    <s v="HQ, MF"/>
    <m/>
    <m/>
    <x v="0"/>
    <n v="115000"/>
    <x v="86"/>
    <x v="1"/>
    <s v="https://minneapolisglass.com/minneapolis-glass-builds-new-state-of-the-art-headquarters/"/>
    <m/>
    <s v="9300 Decatur Dr. N."/>
    <n v="55445"/>
    <n v="45.127339999999997"/>
    <n v="-93.395070000000004"/>
    <m/>
    <m/>
    <m/>
    <m/>
    <m/>
    <m/>
    <m/>
    <m/>
    <s v="Metro"/>
    <x v="5"/>
  </r>
  <r>
    <x v="21"/>
    <d v="2023-05-02T00:00:00"/>
    <x v="597"/>
    <s v="Rosemount"/>
    <s v="Dakota"/>
    <s v="MN"/>
    <s v="Rosemount-based aluminum recycler Spectro Alloys Corp. is planning a $76.8 million expansion with a new 90,000-square-foot building on its campus along Highway 55. The project will bring 70 highly paid jobs within 3 years to Rosemount._x000a_Spectro expects to break ground in 2024 on the 42-acre site and have the building operational mid-2025. The project would provide the capabilities needed to recycle used beverage containers, extrusions, and other scraps. The investment includes $24.3 million in new construction. 9/2024: UAE-based Emirates Global Aluminum (EGA) acquires an 80% stake in Spectro Alloys._x000a_DEED AWARDS MIF $400K, JCF $750K"/>
    <s v="MF"/>
    <n v="76819638"/>
    <n v="70"/>
    <x v="0"/>
    <n v="90000"/>
    <x v="44"/>
    <x v="1"/>
    <s v="https://www.bizjournals.com/twincities/news/2023/05/02/spectro-alloys-rosemount-new-building.html"/>
    <s v="Minneapolis St Paul Business Journal"/>
    <s v="13220 Doyle Path"/>
    <n v="55068"/>
    <n v="44.757401000000002"/>
    <n v="-93.011330999999998"/>
    <s v="Government"/>
    <s v="JCF $750K, MIF $400K"/>
    <n v="1150000"/>
    <s v="x"/>
    <s v="Emirates Global Aluminum"/>
    <m/>
    <m/>
    <s v="UAE"/>
    <s v="Metro"/>
    <x v="5"/>
  </r>
  <r>
    <x v="21"/>
    <d v="2023-05-09T00:00:00"/>
    <x v="762"/>
    <s v="Crookston"/>
    <s v="Polk"/>
    <s v="MN"/>
    <s v="May 2023: North Star Lime purchased former Simplot building and plans to convert lime from American Crystal’s Crookston factory into pellets for agricultural application. Already invested $4M. Looking to invest another $10M, where $5 million from a USDA grant, $3.5 million from local lenders. Seeking another $1.5 million. Just received a permit from MPCA. Now hiring a plant manager and 20-plus employees to the facility.._x000a_11/2023: Project investment $9.8 million. Jobs created 21. DEED MIF Award: $430K"/>
    <s v="MF"/>
    <n v="9768334"/>
    <n v="21"/>
    <x v="0"/>
    <m/>
    <x v="28"/>
    <x v="1"/>
    <s v="https://kroxam.com/crookston-city-council-gets-update-on-north-star-lime/"/>
    <s v="KROX AM"/>
    <s v="2100 S Main St"/>
    <n v="56716"/>
    <n v="47.753368000000002"/>
    <n v="-96.624219999999994"/>
    <s v="Government"/>
    <s v="MIF"/>
    <n v="430000"/>
    <m/>
    <m/>
    <m/>
    <m/>
    <m/>
    <s v="North"/>
    <x v="5"/>
  </r>
  <r>
    <x v="21"/>
    <d v="2023-05-10T00:00:00"/>
    <x v="763"/>
    <s v="Bloomington"/>
    <s v="Hennepin"/>
    <s v="MN"/>
    <s v="QTS Medical Device Outsourcing provides assembly, kitting, packaging and sterilization services; and serves as an outsource platform for the medical device and pharmaceutical industries.  Prime General Contractors was hired by QTS for a multi-phase design-build interior remodel of 50,000 SF of space in Bloomington, Minnesota. To support current and future expansion, additional electrical power is being added. Work began in April 2023 and expected to be completed in Dec. 2023."/>
    <s v="MF"/>
    <n v="2165000"/>
    <m/>
    <x v="0"/>
    <m/>
    <x v="11"/>
    <x v="1"/>
    <s v="https://www.primegc.com/post/construction-started-qts-medical-device-outsourcing"/>
    <s v="Prime GC, City of Bloomington"/>
    <s v="10525 HAMPSHIRE AVE S"/>
    <n v="55438"/>
    <n v="44.812133000000003"/>
    <n v="-93.367316000000002"/>
    <m/>
    <m/>
    <m/>
    <m/>
    <m/>
    <m/>
    <m/>
    <m/>
    <s v="Metro"/>
    <x v="5"/>
  </r>
  <r>
    <x v="21"/>
    <d v="2023-05-12T00:00:00"/>
    <x v="764"/>
    <s v="Faribault"/>
    <s v="Rice"/>
    <s v="MN"/>
    <s v="F2F, Inc. plans to  develop a mushroom production facility in Faribault that will be the largest farm of its kind in the midwest. The projected project will cost an estimated $7.2 million, take place in a leased 60,000 sqft space and will employ roughly 100 people when fully operational. _x000a__x000a_DEED Award JCF $175K"/>
    <s v="MF"/>
    <n v="7200000"/>
    <n v="100"/>
    <x v="0"/>
    <n v="60000"/>
    <x v="0"/>
    <x v="14"/>
    <s v="https://www.southernminn.com/faribault_daily_news/news/pending-state-help-mushroom-grower-plans-expansion-to-faribault/article_2e63e94c-ce70-11ed-a8a6-07da9d748455.html"/>
    <s v="Faribault Daily News, DEED, City of Faribault"/>
    <s v="n/a"/>
    <n v="55021"/>
    <n v="44.362870000000001"/>
    <n v="-93.267455999999996"/>
    <s v="Government"/>
    <s v="JCF"/>
    <n v="175000"/>
    <m/>
    <m/>
    <m/>
    <m/>
    <m/>
    <s v="South"/>
    <x v="5"/>
  </r>
  <r>
    <x v="21"/>
    <d v="2023-05-17T00:00:00"/>
    <x v="765"/>
    <s v="Princeton"/>
    <s v="Mille Lacs"/>
    <s v="MN"/>
    <s v="Elemet Manufacturing specializes in CNC machining, welding, and precision waterjet cutting and custom solutions. Elemet Group Inc. (NAICS 3329) is expanding in Princeton (Mille Lacs County) and is planning to build a new facility. The total project cost is nearly $26.5 million with $12.6 million for new  construction. Other costs include machinery and equipment. The project will retain 120 jobs and create 45 jobs within the first 3 years. Broke ground in June 2023. Facility was completed and opened in late February 2024._x000a_DEED Awards: MIF $1 million, JCF $800K, BDPI $750K (to City of Princeton)"/>
    <s v="MF"/>
    <n v="26446896"/>
    <n v="45"/>
    <x v="18"/>
    <n v="140000"/>
    <x v="85"/>
    <x v="1"/>
    <s v="https://mn.gov/deed/about/meetings-events/public-meetings.jsp?trumbaEmbed=view%3Devent%26eventid%3D166790285"/>
    <s v="DEED"/>
    <s v="101 21st Ave S"/>
    <n v="55371"/>
    <n v="45.582250000000002"/>
    <n v="-93.595939999999999"/>
    <s v="Government"/>
    <s v="JCF $800K, MIF $1M, BDPI $750K"/>
    <n v="2550000"/>
    <m/>
    <m/>
    <m/>
    <m/>
    <m/>
    <s v="Central"/>
    <x v="5"/>
  </r>
  <r>
    <x v="21"/>
    <d v="2023-05-17T00:00:00"/>
    <x v="766"/>
    <s v="Woodbury"/>
    <s v="Washington"/>
    <s v="MN"/>
    <s v="Medical device incubator Vita Group will relocate to an existing 65,000 sqft building at 390 Commerce Dr that it bought for $8 million - across from its current location.   The company has 100 employees. The new building will be renovated, expanded to 140,000 square feet, and become Vita Group’s new headquarters. It includes cleanrooms, manufacturing, and offices. Construction is underway in Woodbury and expected to be completed in April 2024. Vita Group plans to hire more people. _x000a_NOV 2023 update: I-Tek Medical and Vita Group are merging to create VitaTek Medical.  "/>
    <s v="HQ, RD"/>
    <m/>
    <m/>
    <x v="0"/>
    <n v="140000"/>
    <x v="11"/>
    <x v="1"/>
    <s v="https://www.bizjournals.com/twincities/news/2023/05/17/medical-device-incubator-vita-group.html"/>
    <s v="Minneapolis St Paul Business Journal"/>
    <s v="390 Commerce Dr"/>
    <n v="55125"/>
    <n v="44.942137000000002"/>
    <n v="-92.911486999999994"/>
    <m/>
    <m/>
    <m/>
    <m/>
    <m/>
    <m/>
    <m/>
    <m/>
    <s v="Metro"/>
    <x v="5"/>
  </r>
  <r>
    <x v="21"/>
    <d v="2023-06-05T00:00:00"/>
    <x v="767"/>
    <s v="Minneapolis"/>
    <s v="Hennepin"/>
    <s v="MN"/>
    <s v="The University of Minnesota plans to invest in a new $68 million to $73 million data center on the East Bank campus. U of M officials are accepting design proposals through 6/22/23 for a 33,000-square-foot “Advanced Operations Center&quot;. The new two-story building will consolidate operations of two current centers. The U of M hopes to break ground by October 2024 and complete construction in November 2025. Prior to construction, there’s a long lead time for procurement of equipment, such as switch gears and generators. "/>
    <s v="DC"/>
    <n v="70000000"/>
    <m/>
    <x v="0"/>
    <n v="33000"/>
    <x v="0"/>
    <x v="20"/>
    <s v="https://finance-commerce.com/2023/06/u-of-m-seeks-bids-for-68m-data-center/"/>
    <s v="Finance &amp; Commerce"/>
    <s v="2001 6th Street SE"/>
    <n v="55455"/>
    <n v="44.979078999999999"/>
    <n v="-93.225200000000001"/>
    <m/>
    <m/>
    <m/>
    <m/>
    <m/>
    <m/>
    <m/>
    <m/>
    <s v="Metro"/>
    <x v="5"/>
  </r>
  <r>
    <x v="21"/>
    <d v="2023-06-13T00:00:00"/>
    <x v="768"/>
    <s v="Elko New Market"/>
    <s v="Scott"/>
    <s v="MN"/>
    <s v="Niagara Bottling is a California-based beverage manufacturer that is proposing to construct a 425,000 square foot facility in Elko New Market. Projected investment: $258 million, New jobs: 58. Average wage: $18/hr._x000a_The fate of a new water bottling plant now rests with the MN Department of Natural Resources, which will review the project for its impact on the aquifer beneath the surface. Niagara Bottling plans to purchase up to 310 million gallons of water per year from Elko New Market, a plan that has sparked controversy._x000a_DEED Awards: MIF $405K, JCF $800K"/>
    <s v="MF"/>
    <n v="258000000"/>
    <n v="59"/>
    <x v="0"/>
    <n v="425000"/>
    <x v="1"/>
    <x v="1"/>
    <s v="https://www.ci.enm.mn.us/vertical/sites/%7B97941C7E-666C-4328-9370-1A15F984EEE3%7D/uploads/MIF_and_SAC-WAC_Summary_11.18.22_V1.pdf _x000a_https://www.ci.enm.mn.us/index.asp?SEC=2B21756D-F7C7-49D1-8F9E-4F7FFA982A8A&amp;Type=B_BASIC"/>
    <s v="City of Elko New Market"/>
    <s v="n/a"/>
    <n v="55054"/>
    <n v="44.571055999999999"/>
    <n v="-93.354266999999993"/>
    <s v="Government"/>
    <s v="MIF (405K), JCF (800K), City of Elko New Market ($3M)"/>
    <n v="4205000"/>
    <m/>
    <m/>
    <s v="Diamond Bar"/>
    <s v="CA"/>
    <m/>
    <s v="Metro"/>
    <x v="5"/>
  </r>
  <r>
    <x v="21"/>
    <d v="2023-06-14T00:00:00"/>
    <x v="769"/>
    <s v="Plymouth"/>
    <s v="Hennepin"/>
    <s v="MN"/>
    <s v="Switzerland-based Bühler, a global specialist and technology partner in food and grain industries will expand its optical sorting testing and applications capabilities with a new facility in Plymouth, MN.   All application centers also will act as training centers for the company’s various sorting solutions. The optical sorting test and train for regionally supplied grains, rice, seeds, pulses, and coffee. "/>
    <s v="MF"/>
    <m/>
    <m/>
    <x v="0"/>
    <m/>
    <x v="1"/>
    <x v="1"/>
    <s v="https://www.world-grain.com/articles/18640-buhler-to-expand-optical-sorting-centers-in-north-america"/>
    <s v="World Grain"/>
    <s v="13105 12th Ave N"/>
    <n v="55441"/>
    <n v="44.990468"/>
    <n v="-93.447700999999995"/>
    <m/>
    <m/>
    <m/>
    <s v="x"/>
    <s v="Buhler Group"/>
    <s v="Uzwil"/>
    <m/>
    <s v="Switzerland"/>
    <s v="Metro"/>
    <x v="5"/>
  </r>
  <r>
    <x v="21"/>
    <d v="2023-06-15T00:00:00"/>
    <x v="770"/>
    <s v="Cloquet"/>
    <s v="Carlton"/>
    <s v="MN"/>
    <s v="U.S. Gypsum, which manufactures ceiling tiles, is celebrating its 100th anniversary this summer.   The company is seeking to replace a 65-year-old dryer at its plant in Cloquet a cost of $38.5 million. The project could begin in June 2024. Update October 2023: Jobs retained: 315. DEED is supporting this project with a MIF award of $300K."/>
    <m/>
    <n v="38500000"/>
    <m/>
    <x v="19"/>
    <m/>
    <x v="88"/>
    <x v="1"/>
    <s v="https://www.pinejournal.com/news/local/usg-to-invest-38-5m-in-cloquet-plant"/>
    <s v="Pine Journal"/>
    <s v="35 Arch Street"/>
    <n v="55720"/>
    <n v="46.723883000000001"/>
    <n v="-92.470122000000003"/>
    <s v="Government"/>
    <s v="MIF"/>
    <n v="300000"/>
    <m/>
    <m/>
    <s v="Chicago"/>
    <s v="IL"/>
    <m/>
    <s v="North"/>
    <x v="5"/>
  </r>
  <r>
    <x v="21"/>
    <d v="2023-06-16T00:00:00"/>
    <x v="771"/>
    <s v="Owatonna"/>
    <s v="Steele"/>
    <s v="MN"/>
    <s v="Daikin Applied is proposing to renovate and upgrade interior office areas at their facility on Park Drive. The idea is to bring the office area up to current design standards, provide necessary upgrades to become ADA compliant, make security improvements, increase the number of workstations, asbestos abatement and an upgrade to the HVAC system. Daikin is estimating the costs of this project to be approximately $2 million and the project will result in 20 new jobs. _x000a_DEED JCF Award: $175K"/>
    <s v="OF"/>
    <n v="1964400"/>
    <n v="20"/>
    <x v="0"/>
    <m/>
    <x v="85"/>
    <x v="1"/>
    <s v="https://civicclerk.blob.core.windows.net/stream/OWATONNAMN/8a185db5-c8ca-47a2-aaa1-314b6d2bd590.pdf?sv=2022-11-02&amp;st=2023-07-14T17%3A58%3A50Z&amp;se=2024-07-14T18%3A03%3A50Z&amp;sr=b&amp;sp=r&amp;sig=%2BzlVHJ0p1EsmAU%2FxE%2FVgHgpvqrI0bK70XKP6ljtVaTI%3D"/>
    <s v="City of Owatonna, DEED"/>
    <s v="3300 Park Dr"/>
    <n v="55060"/>
    <n v="44.091684000000001"/>
    <n v="-93.274343999999999"/>
    <s v="Government"/>
    <s v="JCF"/>
    <n v="175000"/>
    <m/>
    <m/>
    <s v="Osaka"/>
    <m/>
    <s v="Japan"/>
    <s v="South"/>
    <x v="5"/>
  </r>
  <r>
    <x v="21"/>
    <d v="2023-06-20T00:00:00"/>
    <x v="772"/>
    <s v="Bloomington"/>
    <s v="Hennepin"/>
    <s v="MN"/>
    <s v="Cambrex is a leading global contract development and manufacturing organization that delivers drug substance, drug product, and analytical services across the entire drug life cycle, as well as active pharmaceutical ingredients. Building permit description: Cambrex laboratory and office renovations"/>
    <s v="OF, RD"/>
    <n v="868766"/>
    <m/>
    <x v="0"/>
    <m/>
    <x v="53"/>
    <x v="1"/>
    <s v="https://www.bloomingtonmn.gov/bldg/permit-status-inspection-results-monthly-building-reports"/>
    <s v="City of Bloomington"/>
    <s v="9555 JAMES AVE S"/>
    <n v="55431"/>
    <n v="44.830869999999997"/>
    <n v="-93.299882999999994"/>
    <m/>
    <m/>
    <m/>
    <m/>
    <m/>
    <s v="East Rutherford"/>
    <s v="NJ"/>
    <m/>
    <s v="Metro"/>
    <x v="5"/>
  </r>
  <r>
    <x v="21"/>
    <d v="2023-06-21T00:00:00"/>
    <x v="448"/>
    <s v="Bloomington"/>
    <s v="Hennepin"/>
    <s v="MN"/>
    <s v="IDeaS, a SAS company, is the world's leading provider of revenue management software and services. With over 30 years of expertise, IDeaS delivers revenue science to more than 22,000 clients in 152 countries. Building permit description:  12th Floor Phase 3 remodel"/>
    <s v="OF"/>
    <n v="410429"/>
    <m/>
    <x v="0"/>
    <m/>
    <x v="25"/>
    <x v="9"/>
    <s v="https://www.bloomingtonmn.gov/bldg/permit-status-inspection-results-monthly-building-reports"/>
    <s v="City of Bloomington"/>
    <s v="5800 W 84TH ST"/>
    <n v="55437"/>
    <n v="44.854151999999999"/>
    <n v="-93.357275999999999"/>
    <m/>
    <m/>
    <m/>
    <m/>
    <m/>
    <m/>
    <m/>
    <m/>
    <s v="Metro"/>
    <x v="5"/>
  </r>
  <r>
    <x v="21"/>
    <d v="2023-06-21T00:00:00"/>
    <x v="773"/>
    <s v="Richmond"/>
    <s v="Stearns"/>
    <s v="MN"/>
    <s v="Renegade Truck Equipment is a Richmond, Minnesota-based manufacturing company specializing in the sale of truck equipment, truck and trailer accessories, and new builds of truck bodies including gravel, contractor, flatbed, and utility/service. Renegade is planning a 20,000 square foot new building to their facility, which will increase space for manufacturing as well as improve efficiencies in the manufacturing process.  Extimated investment: $3.8 million. New jobs: 15. Construction largely completed by Dec. 2023._x000a_DEED Awards MIF $400K_x000a_"/>
    <s v="MF"/>
    <n v="3838500"/>
    <n v="15"/>
    <x v="0"/>
    <n v="20000"/>
    <x v="22"/>
    <x v="1"/>
    <s v="https://knsiradio.com/2023/08/07/central-minnesota-companies-get-help-to-expand/"/>
    <s v="KNSI Radio, DEED"/>
    <s v="415 Jay Ave SE,"/>
    <n v="56368"/>
    <n v="45.448895"/>
    <n v="-94.515844000000001"/>
    <s v="Government"/>
    <s v="MIF"/>
    <n v="400000"/>
    <m/>
    <m/>
    <m/>
    <m/>
    <m/>
    <s v="Central"/>
    <x v="5"/>
  </r>
  <r>
    <x v="21"/>
    <d v="2023-06-22T00:00:00"/>
    <x v="774"/>
    <s v="Lakeville"/>
    <s v="Dakota"/>
    <s v="MN"/>
    <s v="Honey is the main product of Sweet Harvest Foods, based in Cannon Falls. The company plans to plans to lease a new 366,000-square-foot manufacturing, warehouse and corporate office facility in Lakeville’s industrial park. The project would retain 21 jobs and create 20 new jobs,  The company’s current Lakeville location is a 151,200-square-foot warehouse and distribution center. The company's customers include foodservice, manufacturing and retail customers. The company built a new 150,000 square-foot warehouse facility in Lakeville in 2020. Lakeville issued permit for buildout in Sept 2023._x000a_DEED AWARDS JCF $155K, MIF $140K"/>
    <s v="DW, MF, OF"/>
    <n v="6553500"/>
    <n v="20"/>
    <x v="20"/>
    <n v="366000"/>
    <x v="1"/>
    <x v="1"/>
    <s v="https://www.hometownsource.com/sun_thisweek/community/lakeville/sweet-harvest-looks-to-expand-in-lakeville/article_40fafc9c-1111-11ee-94f4-275d9a354436.html"/>
    <s v="Sun This Week, DEED"/>
    <s v="21601 Galway Lane"/>
    <n v="55044"/>
    <n v="44.628933000000004"/>
    <n v="-93.215734999999995"/>
    <s v="Government"/>
    <s v="JCF $155K, MIF $140K"/>
    <n v="295000"/>
    <m/>
    <m/>
    <m/>
    <m/>
    <m/>
    <s v="Metro"/>
    <x v="5"/>
  </r>
  <r>
    <x v="21"/>
    <d v="2023-06-26T00:00:00"/>
    <x v="775"/>
    <s v="Perham"/>
    <s v="Otter Tail"/>
    <s v="MN"/>
    <s v="Chanhassen-based dairy cooperative Bongards Creameries will invest $125 million in its dairy plant in Perham through expanding intake bays, cheese packaging equipment, whey warehousing and its wastewater treatment. The plant will be able to expand its milk intake by a full third in the next two years as a reesult. Bongards is a nationally recognized cheese and whey producer. The expansion is expected to begin in July 2023. Anticipated completion: June 2025 "/>
    <s v="MF"/>
    <n v="125000000"/>
    <m/>
    <x v="0"/>
    <m/>
    <x v="1"/>
    <x v="1"/>
    <s v="https://www.startribune.com/bongards-creameries-plans-125-million-expansion-for-its-perham-dairy-plant-minnesota-farmers-milk/600285423/"/>
    <s v="Star Tribune"/>
    <s v="110 3rd Ave NE"/>
    <n v="56573"/>
    <n v="46.593629999999997"/>
    <n v="-95.568680999999998"/>
    <m/>
    <m/>
    <m/>
    <m/>
    <m/>
    <m/>
    <m/>
    <m/>
    <s v="Central"/>
    <x v="5"/>
  </r>
  <r>
    <x v="21"/>
    <d v="2023-06-27T00:00:00"/>
    <x v="776"/>
    <s v="Grand Rapids"/>
    <s v="Itasca"/>
    <s v="MN"/>
    <s v="Yanmar Compact Equipment North America recently broke ground on a 32,000-square-foot expansion to its Grand Rapids facility. The expansion will greatly increase manufacturing capacity and allow for Yanmar compact track loaders to be manufactured alongside ASV compact track loaders. Vompany executives project adding 200 new jobs over the next five years.  The new section will house a paint system that increases paint capacity by three times, and will boost parts manufacturing capacity by two times. The company expects project completion in Spring 2024."/>
    <s v="MF"/>
    <m/>
    <n v="200"/>
    <x v="0"/>
    <n v="32000"/>
    <x v="85"/>
    <x v="1"/>
    <s v="http://www.businessnorth.com/daily_briefing/yanmar-breaks-ground-on-expansion/article_625862e0-152f-11ee-8888-b333151b6945.html?utm_source=businessnorth.com&amp;utm_campaign=%2Fnewsletters%2Fwednesday-headlines%2F%3Fscrape%3Dtrue%26-dc%3D1687980623&amp;utm_medium=email&amp;utm_content=headline"/>
    <s v="Business North"/>
    <s v="840 Lily Ln"/>
    <n v="55744"/>
    <n v="47.220570000000002"/>
    <n v="-93.507794000000004"/>
    <m/>
    <m/>
    <m/>
    <s v="x"/>
    <s v="Yanmar CE"/>
    <s v="Osaka"/>
    <m/>
    <s v="Japan"/>
    <s v="North"/>
    <x v="5"/>
  </r>
  <r>
    <x v="21"/>
    <d v="2023-06-30T00:00:00"/>
    <x v="777"/>
    <s v="Fosston"/>
    <s v="Polk"/>
    <s v="MN"/>
    <s v="Fosston was awarded $960,460 from DEED’s Greater Minnesota Business Development Public Infrastructure Grant Program (BDPI) to assist with constructing streets and utilities to expand their industrial park.  Great Northern Ingredients, a food manufacturing business, has committed to the park and plans on investing $20 million in the property and initially creating 20 jobs. _x000a_"/>
    <s v="MF"/>
    <n v="20000000"/>
    <n v="20"/>
    <x v="0"/>
    <m/>
    <x v="1"/>
    <x v="1"/>
    <s v="DEED"/>
    <s v="DEED"/>
    <m/>
    <n v="56542"/>
    <n v="47.576348000000003"/>
    <n v="-95.751414999999994"/>
    <m/>
    <m/>
    <m/>
    <m/>
    <m/>
    <m/>
    <m/>
    <m/>
    <s v="North"/>
    <x v="5"/>
  </r>
  <r>
    <x v="22"/>
    <d v="2023-07-14T00:00:00"/>
    <x v="778"/>
    <s v="Blaine"/>
    <s v="Hennepin"/>
    <s v="MN"/>
    <s v="Piedmont Plastics®, a leading wholesale distributor of plastic sheet, rod, tube, and film, is openedits newest branch location in Minneapolis - which represented its 54th branch in North America and first location in Minnesota. The new Minneapolis branch will function as a fully equipped distribution facility, providing an extensive inventory, cut-to-size services, routing capabilities, and local delivery options; and provides support to customers across Minnesota and the Midwest. "/>
    <s v="DW"/>
    <m/>
    <m/>
    <x v="0"/>
    <m/>
    <x v="57"/>
    <x v="1"/>
    <s v="https://www.piedmontplastics.com/blog/new-piedmont-plastics-minneapolis-branch"/>
    <s v="Company website"/>
    <s v="9702 Ulysses St NE"/>
    <n v="55434"/>
    <n v="45.147359999999999"/>
    <n v="-93.237859999999998"/>
    <m/>
    <m/>
    <m/>
    <m/>
    <m/>
    <s v="Charlotte"/>
    <s v="NC"/>
    <m/>
    <s v="Metro"/>
    <x v="5"/>
  </r>
  <r>
    <x v="22"/>
    <d v="2023-07-20T00:00:00"/>
    <x v="779"/>
    <s v="Maple Grove"/>
    <s v="Anoka"/>
    <s v="MN"/>
    <s v="MAS HVAC, a Circle Pines, Minnesota-based manufacturer that provides custom energy recovery, air movement and heat exchange solutions for large commercial air-conditioning equipment, has signed a 150,000-sqft lease in Maple Grove's Arbor Lakes Business Park. It will move to its newly constructed space in January 2024. The new location will house the company’s new headquarters, manufacturing and logistics operations. MAS HVAC will relocate from Circle Pines, where it had about 70,000 square feet."/>
    <s v="HQ, MF, OF"/>
    <m/>
    <m/>
    <x v="0"/>
    <n v="80000"/>
    <x v="4"/>
    <x v="1"/>
    <s v="https://www.bizjournals.com/twincities/news/2023/07/20/local-hvac-company-signs-arbor-lakes-business-park.html"/>
    <s v="Minneapolis St Paul Business Journal"/>
    <s v="10901 Elm Creek Blvd N"/>
    <n v="55369"/>
    <n v="45.093829999999997"/>
    <n v="-93.419179999999997"/>
    <m/>
    <m/>
    <m/>
    <m/>
    <m/>
    <m/>
    <m/>
    <m/>
    <s v="Metro"/>
    <x v="5"/>
  </r>
  <r>
    <x v="22"/>
    <d v="2023-07-25T00:00:00"/>
    <x v="326"/>
    <s v="Maple Grove"/>
    <s v="Hennepin"/>
    <s v="MN"/>
    <s v="Boston Scientific plans to build a $170 million facility in Maple Grove, which will  create 177 new jobs paying $65/hr on average. The proposed expansion calls for 170,000 square feet of new R&amp;D labs, office support areas and training spaces in three phases (84,000 Phase 1; 52,000 phase 2; 32,000 Phase 3). The proposed facility will accommodate the company’s interventional cardiology, peripheral interventions, watchman, and urology divisions. Construction timeline: broke ground in Nov. 2023. Building opened Oct. 2025._x000a_DEED Awards: JCF $1.75M, MIF $4.25M. Also TIF $6.4M (City of Maple Grove)_x000a_Update 12/2025: Boston Scientific purchases the building from Ryan Co. for $188.8 million. "/>
    <s v="OF, RD"/>
    <n v="188800000"/>
    <n v="177"/>
    <x v="21"/>
    <n v="168000"/>
    <x v="11"/>
    <x v="1"/>
    <s v="https://finance-commerce.com/2023/07/boston-scientific-plans-170m-expansion-in-maple-grove/"/>
    <s v="Finance &amp; Commerce"/>
    <s v="1 Boston Scientific Way"/>
    <n v="55311"/>
    <n v="45.098497999999999"/>
    <n v="-93.441922000000005"/>
    <s v="Government"/>
    <s v="JCF$1.75M, MIF $4.25M,  TIF $4.5M (City of Maple Grove)"/>
    <n v="10500000"/>
    <m/>
    <m/>
    <s v="Marlborough"/>
    <s v="MA"/>
    <m/>
    <s v="Metro"/>
    <x v="5"/>
  </r>
  <r>
    <x v="22"/>
    <d v="2023-08-01T00:00:00"/>
    <x v="124"/>
    <s v="Brooklyn Park"/>
    <s v="Hennepin"/>
    <s v="MN"/>
    <s v="Takeda's biopharmaceutical manufacturing site in Brooklyn Park, Minnesota, U.S., announced its recently completion of a $45 million dollar investment to increase production capacity. Through cross-functional collaboration, Takeda can now help more patients impacted by ulcerative colitis and Crohn's disease."/>
    <s v="MF"/>
    <n v="45000000"/>
    <m/>
    <x v="0"/>
    <m/>
    <x v="53"/>
    <x v="1"/>
    <s v="https://www.linkedin.com/posts/takeda-pharmaceuticals_biopharmaceutical-activity-7090345875444506624-iZPK"/>
    <m/>
    <s v="9450 Winnetka Ave N"/>
    <n v="55445"/>
    <n v="45.128205000000001"/>
    <n v="-93.379225000000005"/>
    <m/>
    <m/>
    <m/>
    <m/>
    <s v="Takeda"/>
    <s v="Tokyo"/>
    <m/>
    <s v="Japan"/>
    <s v="Metro"/>
    <x v="5"/>
  </r>
  <r>
    <x v="22"/>
    <d v="2023-08-03T00:00:00"/>
    <x v="741"/>
    <s v="Bloomington"/>
    <s v="Hennepin"/>
    <s v="MN"/>
    <s v="Donaldson is a leading filtration products manufacturer. City of Bloomington Construction permit issued: office remodel"/>
    <s v="OF"/>
    <n v="272053"/>
    <m/>
    <x v="0"/>
    <m/>
    <x v="4"/>
    <x v="1"/>
    <s v="https://www.bloomingtonmn.gov/bldg/permit-status-inspection-results-and-monthly-building-reports"/>
    <s v="City of Bloomington, Building Permit report"/>
    <s v="1400 W 94TH ST"/>
    <n v="55431"/>
    <n v="44.835090000000001"/>
    <n v="-93.298862"/>
    <m/>
    <m/>
    <m/>
    <m/>
    <m/>
    <m/>
    <m/>
    <m/>
    <s v="Metro"/>
    <x v="5"/>
  </r>
  <r>
    <x v="21"/>
    <d v="2023-08-04T00:00:00"/>
    <x v="780"/>
    <s v="Grand Rapids"/>
    <s v="Itasca"/>
    <s v="MN"/>
    <s v="L&amp;M Fleet Supply plans to build a new $55.4 million distribution center in Grand Rapids. The new 210,000 sq-ft center will replace current distribution center in LaPrairie. New state-of-the-art equipment will include computer-aided forklifts, conveyor systems, a sortation system, and a new warehouse management system. Expected to create 35 to 50 new jobs and retain 83 jobs. Seeking financial assistance from IRRRB ($2.5 million loan). The city of Grand Rapids is assisting with tax increment financing ($2.1 million) and tax abatement ($2 million). Update May 2024: Construction is underway. Expect completion by Dec. 2024, opening in Feb/Mar 2025._x000a_DEED JCF Award $790K. MIF $2.0M"/>
    <s v="DW"/>
    <n v="55652250"/>
    <n v="50"/>
    <x v="22"/>
    <n v="210000"/>
    <x v="0"/>
    <x v="8"/>
    <s v="http://www.businessnorth.com/daily_briefing/l-m-fleet-supply-to-build-new-distribution-center/article_8e2582e0-3311-11ee-be35-e3ce5651ac78.html"/>
    <s v="Business North, DEED"/>
    <s v="1400 S Pokegama Ave,"/>
    <n v="55744"/>
    <n v="47.216428000000001"/>
    <n v="-93.526953000000006"/>
    <s v="Government"/>
    <s v="JCF $790K, MIF $2.0M. Grand Rapids: TIF ($2.1M), Tax Abatement ($2.0M); Itasca County: $1.4M tax abatement IRRB ($2.5M)"/>
    <n v="10941782"/>
    <m/>
    <s v=" "/>
    <m/>
    <m/>
    <m/>
    <s v="North"/>
    <x v="5"/>
  </r>
  <r>
    <x v="22"/>
    <d v="2023-08-07T00:00:00"/>
    <x v="781"/>
    <s v="Hibbing"/>
    <s v="St Louis"/>
    <s v="MN"/>
    <s v="IRRR board meeting on Aug 9 approved a $600,000 participation loan to Cast Corporation in Hibbing to support a $1.2 million foundry expansion, loading dock, cold storage, and remodeling project. Includes a 5,400 square foot expansion to the foundry."/>
    <s v="MF"/>
    <n v="1200000"/>
    <m/>
    <x v="0"/>
    <n v="5400"/>
    <x v="44"/>
    <x v="1"/>
    <s v="http://www.businessnorth.com/daily_briefing/l-m-fleet-supply-to-build-new-distribution-center/article_8e2582e0-3311-11ee-be35-e3ce5651ac78.html"/>
    <m/>
    <s v="11364 MN-37"/>
    <n v="55746"/>
    <n v="47.394854000000002"/>
    <n v="-92.876908999999998"/>
    <m/>
    <m/>
    <m/>
    <m/>
    <m/>
    <m/>
    <m/>
    <m/>
    <s v="North"/>
    <x v="5"/>
  </r>
  <r>
    <x v="22"/>
    <d v="2023-08-07T00:00:00"/>
    <x v="782"/>
    <s v="Eden Prairie"/>
    <s v="Hennepin"/>
    <s v="MN"/>
    <s v="Elucent Medical, a medical equipment manufacturer, hosted a grand opening of its new space that includes expanded manufacturing space and a customer training center geared for physician-led clinical education. The leased space is 27,000 square feet, more than three times its previous space, will also serve as its new HQ in Eden Prairie. Expects to add at least 30 jobs over the next couple years across R&amp;D, quality, operations and manufacturing. Elucent Medical offers surgical navigation solutions."/>
    <s v="HQ, MF, Other"/>
    <m/>
    <n v="30"/>
    <x v="0"/>
    <n v="27000"/>
    <x v="11"/>
    <x v="1"/>
    <s v="https://www.bizjournals.com/twincities/news/2023/08/07/elucent-medical-expands-to-eden-prairie.html"/>
    <m/>
    <s v="6509 Flying Cloud Drive in Eden Prairie."/>
    <n v="55344"/>
    <n v="44.884169999999997"/>
    <n v="-93.405259000000001"/>
    <m/>
    <m/>
    <m/>
    <m/>
    <m/>
    <m/>
    <m/>
    <m/>
    <s v="Metro"/>
    <x v="5"/>
  </r>
  <r>
    <x v="22"/>
    <d v="2023-08-09T00:00:00"/>
    <x v="783"/>
    <s v="Dayton"/>
    <s v="Hennepin"/>
    <s v="MN"/>
    <s v="nVent will fully use a development currently under construction for its distribution facility in Dayton called the French Lake Distribution Center. It signed a 10-year lease for the 248,000-square-foot space._x000a_NVent, a high-performance electrical company offering electrical connection and protection solutions, plans to move into the new space before the end of the year. nVent will relocate its distribution arm of its enclosures and air-conditioning solutions from its Anoka location. Expect to move into new space by end of 2023. Facility opened: April 2024."/>
    <s v="DW"/>
    <m/>
    <m/>
    <x v="0"/>
    <n v="248000"/>
    <x v="7"/>
    <x v="1"/>
    <s v="https://www.bizjournals.com/twincities/news/2023/08/09/capital-partners-nvent-dayton-spec-industrial.html"/>
    <m/>
    <s v="12655 W French Lake Rd"/>
    <n v="55327"/>
    <n v="45.166874999999997"/>
    <n v="-93.495929000000004"/>
    <m/>
    <m/>
    <m/>
    <m/>
    <m/>
    <m/>
    <m/>
    <m/>
    <s v="Metro"/>
    <x v="5"/>
  </r>
  <r>
    <x v="22"/>
    <d v="2023-08-18T00:00:00"/>
    <x v="784"/>
    <s v="Bemidji"/>
    <s v="Beltrami"/>
    <s v="MN"/>
    <s v="The city of Bemidji is requesting $1.5 million from BDPI to assist with constructing streets and utilities to develop 5 larger hangars at the Bemidji Regional Airport. One of the hangars will allow Bemidji Aviation to expand in Bemidji. Bemidji Aviation will invest $8.5 million, retain 122 jobs, and add 135 jobs.  All 5 of the hangars with be used for an eligible BDPI purpose. The total cost of the infrastructure portion of the project is $3.3 million. "/>
    <s v="DW (Hangars)"/>
    <n v="8500000"/>
    <n v="13"/>
    <x v="23"/>
    <m/>
    <x v="0"/>
    <x v="3"/>
    <s v="n/a"/>
    <s v="DEED"/>
    <s v="3824 Moberg Dr NW"/>
    <n v="56601"/>
    <n v="47.50423"/>
    <n v="-94.934330000000003"/>
    <s v="Government"/>
    <s v="BDPI "/>
    <n v="1509300"/>
    <m/>
    <m/>
    <m/>
    <m/>
    <m/>
    <s v="North"/>
    <x v="5"/>
  </r>
  <r>
    <x v="22"/>
    <d v="2023-08-29T00:00:00"/>
    <x v="515"/>
    <s v="Minneapolis"/>
    <s v="Hennepin"/>
    <s v="MN"/>
    <s v="NetSPI is planning to relocate to a new Minneapolis headquarters in the North Loop neighborhood. NetSPI into 60,000 square feet of the Steelman Exchange building, at . NetSPI is moving due to increasing employee headcount and needing more collaborative workspace. NetSPI plans to move into the new space in January with a 94-month sublease. The company has added more than 150 employees just this year, many of whom are based in the Twin Cities. In all, the company has about 200 employees locally, and 550 globally."/>
    <s v="HQ, OF"/>
    <m/>
    <n v="150"/>
    <x v="0"/>
    <n v="20000"/>
    <x v="3"/>
    <x v="4"/>
    <s v="https://www.bizjournals.com/twincities/news/2023/08/29/netspi-north-loop-hq-sublease-new.html"/>
    <m/>
    <s v="241 Fifth Ave. N"/>
    <n v="55401"/>
    <n v="44.982748000000001"/>
    <n v="-93.281705000000002"/>
    <m/>
    <m/>
    <m/>
    <m/>
    <m/>
    <m/>
    <m/>
    <m/>
    <s v="Metro"/>
    <x v="5"/>
  </r>
  <r>
    <x v="22"/>
    <d v="2023-08-30T00:00:00"/>
    <x v="785"/>
    <s v="Bloomington"/>
    <s v="Hennepin"/>
    <s v="MN"/>
    <s v="Nexstar, a firm that offers training on HVAC systems, plumbing and electrical work, signed a 13,491-square-foot sublease at 7760 France Ave. S. The sublease space will be its new headquarters with all operations, and will provide its over 60 Minnesota-based employees with administrative and collaborative work areas. Nexstar hopes to have the space renovated within the next 30-60 days for its employees. Nexstar is relocating from Saint Paul. "/>
    <s v="HQ"/>
    <m/>
    <m/>
    <x v="0"/>
    <n v="13491"/>
    <x v="89"/>
    <x v="5"/>
    <s v="https://www.bizjournals.com/twincities/news/2023/08/30/jostens-sublease-bloomington-headquarters-tenant.html"/>
    <m/>
    <s v="7760 France Ave. S"/>
    <n v="55435"/>
    <n v="44.860689999999998"/>
    <n v="-93.330609999999993"/>
    <m/>
    <m/>
    <m/>
    <m/>
    <m/>
    <m/>
    <m/>
    <m/>
    <s v="Metro"/>
    <x v="5"/>
  </r>
  <r>
    <x v="22"/>
    <d v="2023-09-01T00:00:00"/>
    <x v="786"/>
    <s v="Minneapolis"/>
    <s v="Hennepin"/>
    <s v="MN"/>
    <s v="Kannegiesser ETECH develops and manufactures technology and equipment for the industrial laundry industry. Its German parent company is Herbert Kannegiesser GmbH.  ETECH is investing in more space, new technology and equipment, and additional staff.  ETECH expects to invest $5 million in its expansion, which will create 36 new jobs over the next three years. (It currently has 127 employees in the state.)_x000a_DEED JCF Award: $175K"/>
    <s v="MF, RD"/>
    <n v="5050000"/>
    <n v="36"/>
    <x v="24"/>
    <m/>
    <x v="4"/>
    <x v="1"/>
    <s v="https://lims.minneapolismn.gov/RCA/10563"/>
    <s v="City of Minneapolis"/>
    <s v="2090 Elm St SE"/>
    <n v="55414"/>
    <n v="44.982745000000001"/>
    <n v="-93.224102999999999"/>
    <s v="Government"/>
    <s v="JCF"/>
    <n v="175000"/>
    <s v="y"/>
    <s v="Herbert Kannegiesser GmbH"/>
    <s v="Vlotho"/>
    <m/>
    <s v="Germany"/>
    <s v="Metro"/>
    <x v="5"/>
  </r>
  <r>
    <x v="22"/>
    <d v="2023-09-05T00:00:00"/>
    <x v="787"/>
    <s v="Roseville"/>
    <s v="Ramsey"/>
    <s v="MN"/>
    <s v="Computype has been innovating automation and barcode labeling solutions for nearly 50 years. Prime General Contractors remodeled 90,000 square feet of production space in St. Paul, Minnesota - all while production continued as usual. Production, bathroom and office spaces were remodeled. Mechanical and electrical systems were reworked to raise ceilings. Warehouse was relocated and brought up to code. Construction was completed in Sept 2023."/>
    <s v="MF, OF"/>
    <m/>
    <m/>
    <x v="0"/>
    <m/>
    <x v="42"/>
    <x v="1"/>
    <s v="https://www.primegc.com/post/complete-computype-remodel"/>
    <s v="Company website"/>
    <s v="2285 County Rd C West"/>
    <n v="55113"/>
    <n v="45.028790000000001"/>
    <n v="-93.197739999999996"/>
    <m/>
    <m/>
    <m/>
    <m/>
    <m/>
    <m/>
    <m/>
    <m/>
    <s v="Metro"/>
    <x v="5"/>
  </r>
  <r>
    <x v="21"/>
    <d v="2023-09-08T00:00:00"/>
    <x v="788"/>
    <s v="Rosemount"/>
    <s v="Dakota"/>
    <s v="MN"/>
    <s v="The University of MN Board of Regents approved an almost $40 million land sale related to UMore Park that could lead to a $700 million investment into a new data center in Rosemount from Facebook’s parent company, Meta. Meta plans to power with renewable energy. The project still has several steps before it is finalized. 10/2023 update: utility regulators approved electricity contracts. _x000a_12/2023: The plan that Rosemount County has approved shows a 750,000 sq ft data center campus that includes two data halls."/>
    <s v="DC"/>
    <n v="700000000"/>
    <n v="50"/>
    <x v="0"/>
    <n v="750000"/>
    <x v="29"/>
    <x v="9"/>
    <s v="https://www.startribune.com/facebook-parent-meta-plans-700m-data-center-for-rosemount-xcel-energy-university-minnesota-google/600301527/"/>
    <s v="Star Tribune"/>
    <s v="170th Street East"/>
    <n v="55068"/>
    <n v="44.739409999999999"/>
    <n v="-93.125770000000003"/>
    <m/>
    <m/>
    <m/>
    <m/>
    <m/>
    <s v="Menlo Park"/>
    <s v="CA"/>
    <m/>
    <s v="Metro"/>
    <x v="5"/>
  </r>
  <r>
    <x v="22"/>
    <d v="2023-09-13T00:00:00"/>
    <x v="789"/>
    <s v="New Brighton"/>
    <s v="Ramsey"/>
    <s v="MN"/>
    <s v="An entity related to recycling firm Pioneer Industries International has paid $13.8 million for a former produce warehouse in New Brighton. The deal will bring up to 70 jobs to the city and rejuvenate a long-vacant building. The 110,692-square-foot building will house a paper sorting and distribution operation.The New Brighton building will replace Pioneer’s existing operation at 155 Irving Ave. N. in Minneapolis. After renovations, Pioneer plans to move into the new building in second quarter 2024."/>
    <s v="DW"/>
    <m/>
    <m/>
    <x v="0"/>
    <n v="110692"/>
    <x v="90"/>
    <x v="5"/>
    <s v="https://finance-commerce.com/2023/09/paper-recycling-firm-buys-new-brighton-warehouse/"/>
    <m/>
    <s v="600 Lakeview Point Drive"/>
    <n v="55112"/>
    <n v="45.041742999999997"/>
    <n v="-93.193590999999998"/>
    <m/>
    <m/>
    <m/>
    <m/>
    <m/>
    <s v="Bloomingdale"/>
    <s v="IL"/>
    <m/>
    <s v="Metro"/>
    <x v="5"/>
  </r>
  <r>
    <x v="21"/>
    <d v="2023-09-13T00:00:00"/>
    <x v="790"/>
    <s v="Marshall"/>
    <s v="Lyon"/>
    <s v="MN"/>
    <s v="Houston-based Solugen plans to expand in Marshall. Solugen uses key technology processes and intellectual property to develop a sustainable, high-yield process of producing bio-based chemicals. The proposed project consists of constructing three (3) modular separate “trains”. The total project cost for the first train is $90 million, which includes about $40 million in new construction, as well as new machinery and equipment. Expects to create 38 jobs within the first year. Expect to open in 2025. DEED JCF Award: $760K_x000a_Update 6/2024: More awards: Federal DOE loan $213.6M, DEED MN Forward Fund $15M"/>
    <s v="MF"/>
    <n v="90000000"/>
    <n v="38"/>
    <x v="0"/>
    <n v="500000"/>
    <x v="91"/>
    <x v="1"/>
    <s v="https://finance-commerce.com/2023/08/chemical-startup-has-90m-plan-for-minnesota/"/>
    <s v="Finance &amp; Commerce"/>
    <s v="701 N 7th St"/>
    <n v="56258"/>
    <n v="44.460428999999998"/>
    <n v="-95.785871999999998"/>
    <s v="Government"/>
    <s v="JCF $760K, Forward Fund $15M, Feds DOE $213.6"/>
    <n v="229360000"/>
    <m/>
    <m/>
    <s v="Houston"/>
    <s v="TX"/>
    <m/>
    <s v="South"/>
    <x v="5"/>
  </r>
  <r>
    <x v="22"/>
    <d v="2023-09-28T00:00:00"/>
    <x v="754"/>
    <s v="St Cloud"/>
    <s v="Stearns"/>
    <s v="MN"/>
    <s v="Essilor Laboratories is an optical lenses manufacturer. Building permit for Addition and remodel"/>
    <s v="MF"/>
    <n v="2200000"/>
    <m/>
    <x v="0"/>
    <m/>
    <x v="11"/>
    <x v="1"/>
    <s v="https://www.ci.stcloud.mn.us/DocumentCenter/View/24638/Septhttps://www.ci.stcloud.mn.us/DocumentCenter/View/25499/September-2023-2023"/>
    <s v="City of St Cloud"/>
    <s v="6650 SAUKVIEW DR"/>
    <n v="56303"/>
    <n v="45.560004999999997"/>
    <n v="-94.244058999999993"/>
    <m/>
    <m/>
    <m/>
    <m/>
    <m/>
    <s v="Charenton-le-Pont"/>
    <m/>
    <s v="France"/>
    <s v="Central"/>
    <x v="5"/>
  </r>
  <r>
    <x v="22"/>
    <d v="2023-09-29T00:00:00"/>
    <x v="791"/>
    <s v="Maple Grove"/>
    <s v="Hennepin"/>
    <s v="MN"/>
    <s v="Cameron Ashley Building Products. has signed on to lease 76,775 square feet at Maple Grove’s Arbor Lakes Business Park near Highway 169 and Interstate 94. Cameron Ashley is a leading wholesale distributor of roofing, insulation, gypsum, siding, and other specialty building products, and is based in South Carolina."/>
    <s v="DW?"/>
    <m/>
    <m/>
    <x v="0"/>
    <n v="76775"/>
    <x v="0"/>
    <x v="10"/>
    <s v="https://www.linkedin.com/feed/update/urn:li:activity:7112790975424458753/"/>
    <m/>
    <s v="10901 Elm Creek Blvd N"/>
    <n v="55369"/>
    <n v="45.093829999999997"/>
    <n v="-93.419179999999997"/>
    <m/>
    <m/>
    <m/>
    <m/>
    <m/>
    <s v="Atlanta"/>
    <s v="GA"/>
    <m/>
    <s v="Metro"/>
    <x v="5"/>
  </r>
  <r>
    <x v="22"/>
    <d v="2023-09-29T00:00:00"/>
    <x v="792"/>
    <s v="Maple Grove"/>
    <s v="Hennepin"/>
    <s v="MN"/>
    <s v="Caribou Coffee Co. has signed on to lease  100,543 square feet at Maple Grove’s Arbor Lakes Business Park near Highway 169 and Interstate 94. The lease will take up nearly half of the fourth building developed as part of Arbor Lakes. Caribou is expected to move into the new space at the start of 2024"/>
    <s v="OF, DW?"/>
    <m/>
    <m/>
    <x v="0"/>
    <n v="100543"/>
    <x v="0"/>
    <x v="8"/>
    <s v="https://www.bizjournals.com/twincities/news/2023/09/29/caribou-coffee-arbor-lakes-lease-maple-grove.html"/>
    <m/>
    <s v="10901 Elm Creek Blvd N"/>
    <n v="55369"/>
    <n v="45.093829999999997"/>
    <n v="-93.419179999999997"/>
    <m/>
    <m/>
    <m/>
    <m/>
    <s v="JAB Holding"/>
    <s v="Luxembourg"/>
    <m/>
    <s v="Luxembourg"/>
    <s v="Metro"/>
    <x v="5"/>
  </r>
  <r>
    <x v="22"/>
    <d v="2023-09-29T00:00:00"/>
    <x v="793"/>
    <s v="Cloquet"/>
    <s v="Carlton"/>
    <s v="MN"/>
    <s v="Upper Lakes Foods, Inc. plans to expand in Cloquet. The company is a full‐line, full‐service broadline food distributor serving customers in the Upper Midwest. The company plans to add 7,000 square feet of freezer space by constructing a new building addition. The total project cost is $2,688,416. The company expects to create 11 jobs within the first 3 years at an average cash wage of $24.18 per hour.  Construction to begin spring 2024._x000a_Received DEED Award from JCF $220K, TIF $154.3K"/>
    <s v="DW"/>
    <n v="2688416"/>
    <n v="11"/>
    <x v="0"/>
    <n v="7000"/>
    <x v="56"/>
    <x v="10"/>
    <s v="n/a"/>
    <s v="DEED"/>
    <s v="1720 Cannon Rd, "/>
    <n v="55720"/>
    <n v="46.721770999999997"/>
    <n v="-92.461181999999994"/>
    <s v="Government"/>
    <s v="JCF $220k, TIF $154.3k"/>
    <n v="374296"/>
    <m/>
    <m/>
    <m/>
    <m/>
    <m/>
    <s v="North"/>
    <x v="5"/>
  </r>
  <r>
    <x v="22"/>
    <d v="2023-10-05T00:00:00"/>
    <x v="794"/>
    <s v="Maple Grove"/>
    <s v="Hennepin"/>
    <s v="MN"/>
    <s v="A countertop and flooring supplier is relocating to a new facility in Maple Grove’s Arbor Lakes Business Park. M S International Inc. (MSI), based in Orange, California, plans to relocate its current operations in Plymouth to a new, 195,013-square-foot facility by summer 2024. The project cost is $25 million.  MSI’s new facility will also be a regional headquarters for its operations across Minnesota and the Dakotas."/>
    <s v="HQ, MF"/>
    <n v="25000000"/>
    <m/>
    <x v="0"/>
    <n v="95000"/>
    <x v="88"/>
    <x v="1"/>
    <s v="https://www.bizjournals.com/twincities/news/2023/10/05/msi-arbor-lakes-buildout-facility.html"/>
    <m/>
    <s v="10901 Elm Creek Blvd N"/>
    <n v="55369"/>
    <n v="45.093829999999997"/>
    <n v="-93.419179999999997"/>
    <m/>
    <m/>
    <m/>
    <m/>
    <m/>
    <s v="Orange"/>
    <s v="CA"/>
    <m/>
    <s v="Metro"/>
    <x v="5"/>
  </r>
  <r>
    <x v="23"/>
    <d v="2023-10-17T00:00:00"/>
    <x v="795"/>
    <s v="Grand Rapids"/>
    <s v="Itasca"/>
    <s v="MN"/>
    <s v="IRRRB approved $10 million dollar loan for cannabis facility in Grand Rapids. _x000a_HWY 35, LLC will establish a 30,000 sqft state-of-the-art cannabis cultivation and manufacturing facility. The proposed site is the former Ainsworth OSB plant in Grand Rapids. The HWY35 project is expected to invest $68 million and create 400 jobs. Renovations to begin mid-2024, operating by Jan 2025. The project is based in both manufacturing and agriculture, thus diversifying the local economy."/>
    <s v="MF"/>
    <n v="68000000"/>
    <n v="400"/>
    <x v="0"/>
    <n v="30000"/>
    <x v="1"/>
    <x v="1"/>
    <s v="https://www.wdio.com/front-page/top-stories/irrrb-approves-10-million-dollar-loan-for-cannabis-facility-in-grand-rapids/"/>
    <s v="WDIO"/>
    <m/>
    <n v="55744"/>
    <n v="47.237166000000002"/>
    <n v="-93.530214000000001"/>
    <s v="Government"/>
    <s v="IRRRB ($10M), TIF ($2M)"/>
    <n v="12000000"/>
    <m/>
    <m/>
    <m/>
    <m/>
    <m/>
    <s v="North"/>
    <x v="5"/>
  </r>
  <r>
    <x v="23"/>
    <d v="2023-10-20T00:00:00"/>
    <x v="796"/>
    <s v="Anoka"/>
    <s v="Anoka"/>
    <s v="MN"/>
    <s v="Hoffman Enclosures Inc. (332322) is looking to expand in Anoka (Anoka County), Minnesota. The company designs, manufactures, markets, installs, and services high-performance products and solutions that help build a more sustainable and electrified world. The proposed project will be construction of an increase of 100,000 of additional manufacturing space. The total project cost is $27,000,000 with $4,000,000 being eligible for the capital investment rebate for renovations of an existing building, which would be rebated up to 5%. The company expected to create 141 jobs within three (3) years at an average cash wage of $34.96 per hour.  Company to receive MIF loan of $450,000, $175,000 from the Job Creation Fund. "/>
    <s v="MF"/>
    <n v="27000000"/>
    <n v="141"/>
    <x v="0"/>
    <n v="100000"/>
    <x v="82"/>
    <x v="1"/>
    <s v="n/a"/>
    <s v="DEED"/>
    <s v="2100 Hoffman Way"/>
    <n v="55303"/>
    <n v="45.201655000000002"/>
    <n v="-93.373503999999997"/>
    <s v="Government"/>
    <s v="JCF $175K, MIF $450K"/>
    <n v="625000"/>
    <m/>
    <m/>
    <m/>
    <m/>
    <m/>
    <s v="Metro"/>
    <x v="5"/>
  </r>
  <r>
    <x v="23"/>
    <d v="2023-10-23T00:00:00"/>
    <x v="797"/>
    <s v="Wyoming"/>
    <s v="Chisago"/>
    <s v="MN"/>
    <s v="Rosenbauer's manufacturing operations are expanding to meet the surging demand for advanced firefighting technologies. Currently have 501 employees in MN and plan to add 60 new jobs over the next two years. Received MJSP award to provide training to 223 employees (including 60 expected new hires) between January 2024 to February 2026. Training partner is Hennepin Technical College. Courses focus on welding skills,  electrical and mechanical assembly,and other areas_x000a_DEED Award: MJSP  $391,213 "/>
    <m/>
    <n v="778095"/>
    <n v="60"/>
    <x v="0"/>
    <m/>
    <x v="85"/>
    <x v="1"/>
    <s v="n/a"/>
    <s v="DEED (MJSP)"/>
    <s v="5190 260th St"/>
    <n v="55092"/>
    <n v="45.325769000000001"/>
    <n v="-93.001211999999995"/>
    <s v="Government"/>
    <s v="MJSP"/>
    <n v="391213"/>
    <m/>
    <m/>
    <s v="Leonding"/>
    <m/>
    <s v="Austria"/>
    <s v="Central"/>
    <x v="5"/>
  </r>
  <r>
    <x v="23"/>
    <d v="2023-10-26T00:00:00"/>
    <x v="798"/>
    <s v="Brooklyn Park"/>
    <s v="Hennepin"/>
    <s v="MN"/>
    <s v="Pennsylvania-based Penske Truck Leasing Co. has paid $2.65 million for two buildings totaling 18,896 square feet and their 3.35-acre site at 7204 Winnetka Ave. N. in Brooklyn Park, adding space to Penske’s existing location next door. Penske operates more than 442,500 vehicles and serves customers from nearly 1,440 locations."/>
    <s v="DW"/>
    <n v="2650000"/>
    <m/>
    <x v="0"/>
    <n v="18896"/>
    <x v="54"/>
    <x v="3"/>
    <s v="https://finance-commerce.com/2023/10/just-sold-penske-adds-to-brooklyn-park-location/"/>
    <s v="Finance &amp; Commerce"/>
    <s v="7204 Winnetka Ave. N"/>
    <n v="55316"/>
    <n v="45.084803999999998"/>
    <n v="-93.380848"/>
    <m/>
    <m/>
    <m/>
    <m/>
    <m/>
    <s v="Reading"/>
    <s v="PA"/>
    <m/>
    <s v="Metro"/>
    <x v="5"/>
  </r>
  <r>
    <x v="23"/>
    <d v="2023-10-27T00:00:00"/>
    <x v="799"/>
    <s v="Inver Grove Heights"/>
    <s v="Dakota"/>
    <s v="MN"/>
    <s v="SOMIC Packaging Inc. (NAICS 423800) is looking to expand in Inver Grove Heights, relocating from its leased space in Eagan. Parent company is Somic Verwaltungs GmbH of Germany. SOMIC Packaging manufactures highly efficient, flexible case packing equipment. The company needs more space for service parts and product testing. Plan to purchase a newly constructed 48,000 sq ft building at Inverpointe Business Park that would be built out to meet its needs. The total project cost: $8.3 million. Will create 23 new jobs. DEED awards: JCF $345K, MIF $175K"/>
    <s v="MF"/>
    <n v="8328040"/>
    <n v="23"/>
    <x v="0"/>
    <n v="48000"/>
    <x v="4"/>
    <x v="1"/>
    <s v="https://ighmn.portal.civicclerk.com/event/1647/files/attachment/4573"/>
    <s v="City of Inver Grove Heights, DEED"/>
    <s v="8360 Courthouse Boulevard"/>
    <n v="55077"/>
    <n v="44.828336999999998"/>
    <n v="-93.071046999999993"/>
    <s v="Government"/>
    <s v="MIF ($175K), JCF ($345K)"/>
    <n v="520000"/>
    <s v="x"/>
    <s v="SOMIC Verwaltungs GmbH"/>
    <s v="Amerang"/>
    <m/>
    <s v="Germany"/>
    <s v="Metro"/>
    <x v="5"/>
  </r>
  <r>
    <x v="23"/>
    <d v="2023-10-30T00:00:00"/>
    <x v="739"/>
    <s v="Bloomington"/>
    <s v="Hennepin"/>
    <s v="MN"/>
    <s v="International flexible-office space company IWG PLC is opening five new Twin Cities locations next year. Bloomington: 4470 78th St. Circle, under the Regus brand. Spanning 17,880 square feet, this location will open the second quarter of 2024."/>
    <s v="OF"/>
    <m/>
    <m/>
    <x v="0"/>
    <n v="17880"/>
    <x v="0"/>
    <x v="2"/>
    <s v="https://www.bizjournals.com/twincities/news/2023/10/30/iwg-coworking-space-twin-cities-new.html"/>
    <s v="Minneapolis St Paul Business Journal"/>
    <s v="4470 78th St. Circle"/>
    <n v="55435"/>
    <s v=" 44.85968"/>
    <n v="-93.337980000000002"/>
    <m/>
    <m/>
    <m/>
    <m/>
    <m/>
    <s v="Zug"/>
    <m/>
    <s v="Switzerland"/>
    <s v="Metro"/>
    <x v="5"/>
  </r>
  <r>
    <x v="23"/>
    <d v="2023-10-30T00:00:00"/>
    <x v="739"/>
    <s v="Brooklyn Center"/>
    <s v="Hennepin"/>
    <s v="MN"/>
    <s v="International flexible-office space company IWG PLC is opening five new Twin Cities locations next year. Brooklyn Center: 6160 Summit, located at 6160 Summit Drive N., under the Regus brand. This location, with 9,900 square feet, is expected to open second quarter of 2024."/>
    <s v="OF"/>
    <m/>
    <m/>
    <x v="0"/>
    <n v="9900"/>
    <x v="0"/>
    <x v="2"/>
    <s v="https://www.bizjournals.com/twincities/news/2023/10/30/iwg-coworking-space-twin-cities-new.html"/>
    <s v="Minneapolis St Paul Business Journal"/>
    <s v="6160 Summit"/>
    <n v="55430"/>
    <n v="45.066695000000003"/>
    <n v="-93.305165000000002"/>
    <m/>
    <m/>
    <m/>
    <m/>
    <m/>
    <s v="Zug"/>
    <m/>
    <s v="Switzerland"/>
    <s v="Metro"/>
    <x v="5"/>
  </r>
  <r>
    <x v="23"/>
    <d v="2023-10-30T00:00:00"/>
    <x v="739"/>
    <s v="Minneapolis"/>
    <s v="Hennepin"/>
    <s v="MN"/>
    <s v="International flexible-office space company IWG PLC is opening five new Twin Cities locations next year. Downtown Minneapolis: Canadian Pacific Plaza, located at 120 South Sixth St., with the Regus brand. The 6,553-square-foot location has an opening date of the second quarter of 2024."/>
    <s v="OF"/>
    <m/>
    <m/>
    <x v="0"/>
    <n v="6553"/>
    <x v="0"/>
    <x v="2"/>
    <s v="https://www.bizjournals.com/twincities/news/2023/10/30/iwg-coworking-space-twin-cities-new.html"/>
    <s v="Minneapolis St Paul Business Journal"/>
    <s v="120 South Sixth St."/>
    <n v="55402"/>
    <n v="44.977274999999999"/>
    <n v="-93.268749999999997"/>
    <m/>
    <m/>
    <m/>
    <m/>
    <m/>
    <s v="Zug"/>
    <m/>
    <s v="Switzerland"/>
    <s v="Metro"/>
    <x v="5"/>
  </r>
  <r>
    <x v="23"/>
    <d v="2023-10-30T00:00:00"/>
    <x v="800"/>
    <s v="Minneapolis"/>
    <s v="Hennepin"/>
    <s v="MN"/>
    <s v="International flexible-office space company IWG PLC is opening five new Twin Cities locations next year. Uptown Minneapolis: MoZaic East, located at 13300 Lagoon Ave., under the brand Spaces. The opening date is the first quarter of 2024. It will span 22,271 square feet on the fourth floor. "/>
    <s v="OF"/>
    <m/>
    <m/>
    <x v="0"/>
    <n v="22271"/>
    <x v="0"/>
    <x v="2"/>
    <s v="https://www.bizjournals.com/twincities/news/2023/10/30/iwg-coworking-space-twin-cities-new.html"/>
    <s v="Minneapolis St Paul Business Journal"/>
    <s v="13300 Lagoon Ave"/>
    <n v="55408"/>
    <n v="44.949106999999998"/>
    <n v="-93.298681999999999"/>
    <m/>
    <m/>
    <m/>
    <m/>
    <m/>
    <s v="Zug"/>
    <m/>
    <s v="Switzerland"/>
    <s v="Metro"/>
    <x v="5"/>
  </r>
  <r>
    <x v="23"/>
    <d v="2023-10-30T00:00:00"/>
    <x v="800"/>
    <s v="Saint Paul"/>
    <s v="Ramsey"/>
    <s v="MN"/>
    <s v="International flexible-office space company IWG PLC is opening five new Twin Cities locations next year.  St. Paul: This Spaces-branded location, at 102 Water Street, will span 9,720 square feet and open second quarter of 2024."/>
    <s v="OF"/>
    <m/>
    <m/>
    <x v="0"/>
    <n v="9720"/>
    <x v="0"/>
    <x v="2"/>
    <s v="https://www.bizjournals.com/twincities/news/2023/10/30/iwg-coworking-space-twin-cities-new.html"/>
    <s v="Minneapolis St Paul Business Journal"/>
    <s v="102 W. Water Street"/>
    <n v="55101"/>
    <n v="44.938160000000003"/>
    <s v=" -93.09269"/>
    <m/>
    <m/>
    <m/>
    <m/>
    <m/>
    <s v="Zug"/>
    <m/>
    <s v="Switzerland"/>
    <s v="Metro"/>
    <x v="5"/>
  </r>
  <r>
    <x v="23"/>
    <d v="2023-11-02T00:00:00"/>
    <x v="801"/>
    <s v="Blaine"/>
    <s v="Anoka"/>
    <s v="MN"/>
    <s v="Warren Schmidt, owner of Diversified Drywall Systems, already is pulling permits to remodel the nearby building at 15550 93rd Lane NE so he can move his business from right around the corner. Schmidt Property Management LLC paid $2.1 million for the property, which Includes a 14,824-square-foot office warehouse with three dock high doors, two drive-in doors and 16 feet of clear height. "/>
    <s v="DW, OF"/>
    <m/>
    <m/>
    <x v="0"/>
    <m/>
    <x v="0"/>
    <x v="11"/>
    <s v="https://finance-commerce.com/2023/11/just-sold-neighbor-snaps-up-nordic-insulation-building/"/>
    <s v="Finance &amp; Commerce"/>
    <s v="15550 93rd Lane NE"/>
    <n v="55449"/>
    <n v="45.140158"/>
    <n v="-93.229169999999996"/>
    <m/>
    <m/>
    <m/>
    <m/>
    <m/>
    <m/>
    <m/>
    <m/>
    <s v="Metro"/>
    <x v="5"/>
  </r>
  <r>
    <x v="23"/>
    <d v="2023-11-16T00:00:00"/>
    <x v="802"/>
    <s v="Burnsville"/>
    <s v="Dakota"/>
    <s v="MN"/>
    <s v="Precision bearing specialist UK-based Carter Manufacturing unveiled the completed expansion of its US-based Carter Americas facility in Minneapolis to further support its customers in the Americas. Carter Americas’ larger facility will have more space to hold inventories, including hybrid and ceramic bearings for high temperature, cryogenic, ultra-high vacuum, and other applications.The new ‘state-of-the-art’ facility enables urgent, next-day deliveries. "/>
    <s v="MF"/>
    <m/>
    <m/>
    <x v="0"/>
    <m/>
    <x v="82"/>
    <x v="1"/>
    <s v="https://www.carterbearings.co.uk/news/carter-manufacturing-limited-soars-to-new-heights-with-carter-americas-expansion-"/>
    <s v="Company website"/>
    <s v=" 11975 Portland Ave #118,"/>
    <n v="55337"/>
    <n v="44.787543999999997"/>
    <n v="-93.267735000000002"/>
    <m/>
    <m/>
    <m/>
    <s v="Yes"/>
    <s v="Carter Manufacturing"/>
    <s v="Abingdon"/>
    <m/>
    <s v="UK"/>
    <s v="Metro"/>
    <x v="5"/>
  </r>
  <r>
    <x v="23"/>
    <d v="2023-11-22T00:00:00"/>
    <x v="803"/>
    <s v="Rochester"/>
    <s v="Olmsted"/>
    <s v="MN"/>
    <s v="Rion Inc plans to expand in Rochester. Rion reimagines regenerative biotherapies and plans on scaling their production for their flagship innovation, Purified Exosome Product. Rion intends to relocate to a new larger leased space of around 10,000 square feet, which it will renovate to GMP grade manufacturing. The new faciliity will be in a former IBM building, and will be for its spin off Rion Aesthetics. The total project cost is $7,335,000. Will create 22 new jobs. DEED is supporting the project with awards totalling $615K (JCF $440K, MIF $175K)."/>
    <s v="MF, RD"/>
    <n v="7335000"/>
    <n v="22"/>
    <x v="0"/>
    <n v="10000"/>
    <x v="28"/>
    <x v="1"/>
    <s v="https://www.bizjournals.com/twincities/inno/stories/news/2024/02/16/rion-startup-from-mayo-doctors.html"/>
    <s v="DEED, Minneapolis St Paul Business Journal"/>
    <s v="202 4th St SW"/>
    <n v="55904"/>
    <n v="44.019002999999998"/>
    <n v="-92.466672000000003"/>
    <s v="Government"/>
    <s v="JCF $440K, MIF $175K"/>
    <n v="615000"/>
    <m/>
    <m/>
    <m/>
    <m/>
    <m/>
    <s v="South"/>
    <x v="5"/>
  </r>
  <r>
    <x v="23"/>
    <d v="2023-11-28T00:00:00"/>
    <x v="696"/>
    <s v="Bagley"/>
    <s v="Clearwater"/>
    <s v="MN"/>
    <s v="Arbor Wood Co., a Duluth-based manufacturer of thermally modified eco-friendly, sustainable-wood products is opening a new production facility in Bagley.  Arbor Wood's planned Bagley site includes 25,000 square feet of production space. The entire facility, including dry storage, is roughly 50,000 square feet on nine acres. The manufacturing plant sits within a designated Opportunity Zone, and is now in operation."/>
    <s v="MF"/>
    <m/>
    <m/>
    <x v="0"/>
    <n v="50000"/>
    <x v="24"/>
    <x v="1"/>
    <s v="https://www.businessnorth.com/daily_briefing/arbor-wood-acquires-ecovantage-opens-new-bagley-production-plant/article_723a7b6a-8e08-11ee-b454-7706109df2e8.html?utm_source=businessnorth.com&amp;utm_campaign=%2Fnewsletters%2Fwednesday-headlines%2F%3Fscrape%3Dtrue%26-dc%3D1701291605&amp;utm_medium=email&amp;utm_content=headline"/>
    <s v="Business North"/>
    <m/>
    <n v="56621"/>
    <n v="47.531644"/>
    <n v="-95.377949000000001"/>
    <m/>
    <m/>
    <m/>
    <m/>
    <m/>
    <m/>
    <m/>
    <m/>
    <s v="North"/>
    <x v="5"/>
  </r>
  <r>
    <x v="23"/>
    <d v="2023-11-28T00:00:00"/>
    <x v="578"/>
    <s v="Rochester"/>
    <s v="Olmsted"/>
    <s v="MN"/>
    <s v="Mayo Clinic leaders unveiled plans for five new buildings, with 2.4 million square feet, at its flagship campus in Rochester totaling $5 billion. Construction for the new buildings will be spread out over six years beginning in 2024 and include two new clinical buildings in downtown Rochester. Goal is to open some facilities as early as 2028, with the project expected to be completed by 2030."/>
    <s v="HC"/>
    <n v="5000000000"/>
    <n v="6000"/>
    <x v="0"/>
    <n v="2400000"/>
    <x v="40"/>
    <x v="0"/>
    <s v="https://newsnetwork.mayoclinic.org/discussion/mayo-clinic-board-of-trustees-approves-plans-to-transform-healthcare-improve-experience-for-staff-and-patients-redesign-rochester-campus/_x000a_https://minnesotareformer.com/2023/11/28/mayo-clinic-leaders-unveil-5-billion-in-infrastructure-investments-with-political-leaders/"/>
    <s v="Minnesota Reformer"/>
    <s v="1216 2nd St SW,"/>
    <n v="55902"/>
    <n v="44.019613"/>
    <n v="-92.481026999999997"/>
    <m/>
    <m/>
    <m/>
    <m/>
    <m/>
    <m/>
    <m/>
    <m/>
    <s v="South"/>
    <x v="5"/>
  </r>
  <r>
    <x v="23"/>
    <d v="2023-11-28T00:00:00"/>
    <x v="804"/>
    <s v="Bloomington"/>
    <s v="Hennepin"/>
    <s v="MN"/>
    <s v="Revo Health, the business support services company tied to Twin Cities Orthopedics, has signed a 33,492-square-foot lease for an 11-year term where its new headquarters will be based in Bloomington. The company will move after renovating the space in the first quarter of 2024. The new headquarters will consolidate over 300 employees from the company's two other office locations in Golden Valley and Bloomington. "/>
    <s v="HQ, OF"/>
    <m/>
    <m/>
    <x v="0"/>
    <n v="33492"/>
    <x v="0"/>
    <x v="4"/>
    <s v="https://www.bizjournals.com/twincities/news/2023/11/28/revo-health-bloomington-headquarters-tco-lease.html"/>
    <s v="Minneapolis St Paul Business Journal"/>
    <s v="3500 W. American Blvd"/>
    <n v="55435"/>
    <n v="44.857709999999997"/>
    <s v=" -93.32531"/>
    <m/>
    <m/>
    <m/>
    <m/>
    <m/>
    <m/>
    <m/>
    <m/>
    <s v="Metro"/>
    <x v="5"/>
  </r>
  <r>
    <x v="23"/>
    <d v="2023-12-01T00:00:00"/>
    <x v="805"/>
    <s v="Shakopee"/>
    <s v="Scott"/>
    <s v="MN"/>
    <s v="Sam's Club is opening two new distribution centers in early 2024 in the Midwest, and one of them will be in Shakopee. Sam’s Club said that the Shakopee facility will serve as a multipurpose distribution center and will employ more than 80 associates, which the retailer is currently hiring. Sam’s Club, a division of Bentonville, Arkansas-based Walmart Inc. (NYSE: WMT), is leasing 365,000 square feet of space in Shakopee’s newly built Southwest Distribution Center, at 7400 Hentges Way. It will open in March. "/>
    <s v="DW"/>
    <m/>
    <n v="80"/>
    <x v="0"/>
    <n v="365000"/>
    <x v="0"/>
    <x v="8"/>
    <s v="https://www.bizjournals.com/twincities/news/2023/11/30/sams-club-southwest-distribution-center-shakopee.html"/>
    <s v="Minneapolis St Paul Business Journal"/>
    <s v="7400 Hentges Way"/>
    <n v="55379"/>
    <n v="44.792605999999999"/>
    <n v="-93.426365000000004"/>
    <m/>
    <m/>
    <m/>
    <m/>
    <m/>
    <s v="Bentonville"/>
    <s v="AR"/>
    <m/>
    <s v="Metro"/>
    <x v="5"/>
  </r>
  <r>
    <x v="23"/>
    <d v="2023-12-08T00:00:00"/>
    <x v="806"/>
    <s v="Eden Prairie"/>
    <s v="Hennepin"/>
    <s v="MN"/>
    <s v="A North Dakota-based biotechnology company has plans to move into and modernize a 23-acre Eden Prairie site, formerly the headquarters of Supervalu Inc. and Bluestem Brands Inc. Fargo-based Aldevron manufactures plasmid DNA, proteins, enzymes and more. Aldevron seeks to renovate and expand upon an existing 2-story, 345,503-square-foot building at 7075 Flying Cloud Drive. The location is expected to employ 500 people, 80% of whom would be new hires. Aldevron proposes constructing a 96,344 sqft addition to the existing building, while also remodeling the existing building."/>
    <s v="MF"/>
    <n v="200000000"/>
    <n v="500"/>
    <x v="0"/>
    <n v="441847"/>
    <x v="28"/>
    <x v="1"/>
    <s v="https://www.bizjournals.com/twincities/news/2023/12/08/aldevron-biotech-eden-prairie-supervalu-bluestem.html"/>
    <s v="Minneapolis St Paul Business Journal"/>
    <s v="7075 Flying Cloud Drive"/>
    <n v="55344"/>
    <n v="44.874907999999998"/>
    <n v="-93.411985999999999"/>
    <m/>
    <m/>
    <m/>
    <m/>
    <s v="Aldevron"/>
    <s v="Fargo"/>
    <s v="ND"/>
    <m/>
    <s v="Metro"/>
    <x v="5"/>
  </r>
  <r>
    <x v="23"/>
    <d v="2023-12-15T00:00:00"/>
    <x v="807"/>
    <s v="Eden Prairie"/>
    <s v="Hennepin"/>
    <s v="MN"/>
    <s v="NVE Corporation (NAICS 334413) is looking to expand in Eden Prairie.  NVE Corporation sells devices that use spintronics, a type of nanotechnology.  The company is looking to lease an additional 7,000 square feet with a production cleanroom, equipment support areas, and employee space in the same business center they are currently located in. The total project cost is $5.1 million for renovations, machinery and equipment and other costs. The company expects to create 23 jobs within the first 3 years. _x000a_DEED Awards: MIF $400K, JCF $210K"/>
    <s v="MF"/>
    <n v="5149795"/>
    <n v="23"/>
    <x v="0"/>
    <n v="7000"/>
    <x v="23"/>
    <x v="1"/>
    <s v="n/a"/>
    <s v="DEED"/>
    <s v="11409 Valley View Rd"/>
    <n v="55344"/>
    <n v="44.866993000000001"/>
    <n v="-93.422501999999994"/>
    <s v="Government"/>
    <s v="MIF ($400K), JCF ($210K)"/>
    <m/>
    <m/>
    <m/>
    <m/>
    <m/>
    <m/>
    <s v="Metro"/>
    <x v="5"/>
  </r>
  <r>
    <x v="23"/>
    <d v="2023-12-18T00:00:00"/>
    <x v="808"/>
    <s v="Blaine"/>
    <s v="Anoka"/>
    <s v="MN"/>
    <s v="Chandler Industries is a privately owned multi-site contract manufacturer of precision machined and fabricated sheet metal components and assemblies. In 2023, Chandler consolidated multiple divisions in Blaine,  which also serves as its corporate headquarters. Chandler employs 300 people. The expansion project involves about $1 million in capital investment in new machines and equipment at Chandlers' existing 100,000 SF leased facility. Other expenses include limited renovations and larger work areas for new workers._x000a_DEED Award: $304K MIF"/>
    <s v="MF"/>
    <n v="1023988"/>
    <n v="14"/>
    <x v="0"/>
    <m/>
    <x v="27"/>
    <x v="1"/>
    <s v="https://blainemn.portal.civicclerk.com/event/1034/files/report/1352"/>
    <s v="City of Blaine"/>
    <s v="8650 W 35W Service Dr NE"/>
    <n v="55449"/>
    <n v="45.124870999999999"/>
    <n v="-93.189707999999996"/>
    <s v="Government"/>
    <s v="MIF ($304K)"/>
    <n v="304000"/>
    <m/>
    <m/>
    <m/>
    <m/>
    <m/>
    <s v="Metro"/>
    <x v="5"/>
  </r>
  <r>
    <x v="23"/>
    <d v="2023-12-28T00:00:00"/>
    <x v="809"/>
    <s v="Princeton"/>
    <s v="Sherburne"/>
    <s v="MN"/>
    <s v="North Woods Finishing, a cabinet making company, operates a pre-finishing plant in Princeton. The company handles all aspects of pre-finishing, such as assembly, design-build and packaging of its products. The proposed project includes a new facility, new equipment, new production lines, and job creation. Proposed investment of $2.65M covers $250K renovation, $2.2M in eqiupment and $0.2M in other costs. The project will create 32 FTE jobs within 2 years. _x000a_DEED Award: MIF $350K"/>
    <s v="MF"/>
    <n v="2650000"/>
    <n v="32"/>
    <x v="0"/>
    <m/>
    <x v="24"/>
    <x v="1"/>
    <s v="https://public.onboardmeetings.com/Meeting/7DYYwB2thfJp5PD%2FSmfRwTmZsA91%2F4oQGpJ6oj52Bc4A/sBeZ5Bkc68NmVoGuD4NsAogF0Ns2dpJHrBrYqQY7XEkA?ReturnUrl=%2FOrganization%2F7DYYwB2thfJp5PD%252FSmfRwTmZsA91%252F4oQGpJ6oj52Bc4A"/>
    <s v="City of Princeton"/>
    <s v="1502 14th St"/>
    <n v="55371"/>
    <n v="45.553728"/>
    <n v="-93.594196999999994"/>
    <s v="Government"/>
    <s v="MIF ($350K)"/>
    <m/>
    <m/>
    <m/>
    <m/>
    <m/>
    <m/>
    <s v="Central"/>
    <x v="5"/>
  </r>
  <r>
    <x v="23"/>
    <d v="2023-12-29T00:00:00"/>
    <x v="742"/>
    <s v="Bloomington"/>
    <s v="Hennepin"/>
    <s v="MN"/>
    <s v="Construction Permit Description: Aerospace and defense manufacturer General Dynamics Phase 1 - Demo of interior office space and build out of new IT Space"/>
    <s v="OF"/>
    <n v="700000"/>
    <m/>
    <x v="0"/>
    <m/>
    <x v="22"/>
    <x v="1"/>
    <s v="https://www.bloomingtonmn.gov/bldg/permit-status-inspection-results-and-monthly-building-reports"/>
    <s v="City of Bloomington"/>
    <s v="8800 QUEEN AVE S, BLOOMINGTON, MN 55431"/>
    <n v="55431"/>
    <n v="44.843409000000001"/>
    <n v="-93.312070000000006"/>
    <m/>
    <m/>
    <m/>
    <m/>
    <m/>
    <s v="Reston"/>
    <s v="VA"/>
    <m/>
    <s v="Metro"/>
    <x v="5"/>
  </r>
  <r>
    <x v="24"/>
    <d v="2024-01-04T00:00:00"/>
    <x v="810"/>
    <s v="Minneapolis"/>
    <s v="Hennepin"/>
    <s v="MN"/>
    <s v="The Minnesota Timberwolves are extending and expanding lease deals at the downtown Minneapolis property. Jon Dahl, managing director for JLL’s Minneapolis office, said the Timberwolves added about 9,000 square feet of space on the second floor for office needs. The NBA team has about 70,000 total square feet in the building, "/>
    <s v="OF"/>
    <m/>
    <m/>
    <x v="0"/>
    <n v="9000"/>
    <x v="0"/>
    <x v="12"/>
    <s v="https://www.bizjournals.com/twincities/news/2024/01/04/mayo-clinic-and-timberwolves-reinvest-in-downtown.html"/>
    <s v="Minneapolis-St. Paul Business Journal"/>
    <s v="600 N 1st St"/>
    <n v="55403"/>
    <n v="44.979579999999999"/>
    <n v="-93.276090999999994"/>
    <m/>
    <m/>
    <m/>
    <m/>
    <m/>
    <m/>
    <m/>
    <m/>
    <s v="Metro"/>
    <x v="6"/>
  </r>
  <r>
    <x v="24"/>
    <d v="2024-01-09T00:00:00"/>
    <x v="811"/>
    <s v="Minneapolis"/>
    <s v="Hennepin"/>
    <s v="MN"/>
    <s v="Modist Brewing Co. is expanding statewide distribution of its beer and THC offerings. It had its best year “by a wide margin” in 2023. Sales grew, mostly thanks to the explosive popularity of THC beverages. The company finished the $2 million revamp of its event center, which is now operational._x000a__x000a_Modist just bought a $1 million warehouse at 301 Royalston Ave. N. at the end of December. The brewery plans to move its distribution and cold storage to the new 9,000 square foot space.  The warehouse has four loading docks, up from Modist's single loading dock. "/>
    <s v="DW"/>
    <n v="1000000"/>
    <m/>
    <x v="0"/>
    <n v="9000"/>
    <x v="39"/>
    <x v="1"/>
    <s v="https://www.bizjournals.com/twincities/news/2024/01/09/modist-warehouse-acquisiton.html"/>
    <s v="Minneapolis-St. Paul Business Journal"/>
    <s v="301 Royalston Ave. N"/>
    <n v="55405"/>
    <n v="44.980955000000002"/>
    <n v="-93.283832000000004"/>
    <m/>
    <m/>
    <m/>
    <m/>
    <m/>
    <m/>
    <m/>
    <m/>
    <s v="Metro"/>
    <x v="6"/>
  </r>
  <r>
    <x v="24"/>
    <d v="2024-01-09T00:00:00"/>
    <x v="812"/>
    <s v="Eagan"/>
    <s v="Dakota"/>
    <s v="MN"/>
    <s v="Summit MEdical, a developer and manufacturer of medical devices, has grown from 16 employees in 2011 to now over 100 employees. Summit Medical has signed a 73,000 square feet lease for nine years, expanding its headquarters in Eagan’s Viking Lakes. This lease renews the company’s existing lease for 41,000 square feet, and adds 32,000 square feet - allowing it to relocate operations from another space in Eagan. The space will offer offices, distribution, clean-room manufacturing and the assembly of finished products.  "/>
    <s v="HQ, MF"/>
    <m/>
    <m/>
    <x v="0"/>
    <n v="32000"/>
    <x v="11"/>
    <x v="1"/>
    <s v="https://www.bizjournals.com/twincities/news/2024/01/09/medical-device-eagan-wilf-viking-lakes-lease.html"/>
    <s v="Minneapolis-St. Paul Business Journal"/>
    <s v="815 Vikings Parkway"/>
    <n v="55121"/>
    <n v="44.858038000000001"/>
    <n v="-93.125275000000002"/>
    <m/>
    <m/>
    <m/>
    <m/>
    <m/>
    <m/>
    <m/>
    <m/>
    <s v="Metro"/>
    <x v="6"/>
  </r>
  <r>
    <x v="24"/>
    <d v="2024-01-11T00:00:00"/>
    <x v="813"/>
    <s v="Plymouth"/>
    <s v="Hennepin"/>
    <s v="MN"/>
    <s v="Wisconsin-based Wausau Coated Products Inc. has paid $5.9 million in cash for the former J-Mark Products office warehouse in Plymouth, which it plans to make its first location in Minnesota. The family-owned and operated Wausau company is a leading manufacturer of adhesive-based label products. The 74,867-square-foot block building sits on 4.84 acres at 2790 Ranchview Lane N and was renovated in 1992. It includes four dock doors, one drive-in door and 18 feet of clear height."/>
    <s v="MF"/>
    <m/>
    <m/>
    <x v="0"/>
    <n v="74867"/>
    <x v="67"/>
    <x v="1"/>
    <s v="https://finance-commerce.com/2024/01/just-sold-wausau-coated-products-buys-plymouth-plant/"/>
    <s v="Finance &amp; Commerce"/>
    <s v="2790 Ranchview Lane N."/>
    <n v="55447"/>
    <n v="45.010776999999997"/>
    <n v="-93.475179999999995"/>
    <m/>
    <m/>
    <m/>
    <m/>
    <m/>
    <m/>
    <m/>
    <m/>
    <s v="Metro"/>
    <x v="6"/>
  </r>
  <r>
    <x v="24"/>
    <d v="2024-01-12T00:00:00"/>
    <x v="814"/>
    <s v="Minneapolis"/>
    <s v="Hennepin"/>
    <s v="MN"/>
    <s v="O'Shaughnessy Distilling is planning to expand. A Contamination Cleanup Grant was awarded to the City of Minneapolis ($394,411) for a site at which O'Shaughnessy Distilling will expand. Site will be redeveloped into a 24,242-square-foot warehouse with offices for business expansion. The project is anticipated to create or retain 26 jobs, increase the local tax base by $120,268 and leverage $4 million of private investment. The developer and other grant sources will provide matching funds."/>
    <s v="DW"/>
    <n v="4000000"/>
    <m/>
    <x v="0"/>
    <n v="24242"/>
    <x v="39"/>
    <x v="1"/>
    <s v="https://mn.gov/deed/newscenter/press-releases/?id=620895#/detail/appId/1/id/606186"/>
    <s v="DEED"/>
    <m/>
    <n v="55401"/>
    <n v="44.984577000000002"/>
    <n v="-93.269097000000002"/>
    <s v="Government"/>
    <s v="Contamination Cleanup"/>
    <n v="394411"/>
    <m/>
    <m/>
    <m/>
    <m/>
    <m/>
    <s v="Metro"/>
    <x v="6"/>
  </r>
  <r>
    <x v="24"/>
    <d v="2024-01-12T00:00:00"/>
    <x v="815"/>
    <s v="Bloomington"/>
    <s v="Hennepin"/>
    <s v="MN"/>
    <s v="Bloomington Construction Permit: Phase 1 Only - Tenant Remodel on 3rd Floor. "/>
    <s v="OF"/>
    <n v="850000"/>
    <m/>
    <x v="0"/>
    <m/>
    <x v="85"/>
    <x v="1"/>
    <s v="https://www.bloomingtonmn.gov/bldg/permit-status-inspection-results-and-monthly-building-reports"/>
    <s v="City of Bloomington"/>
    <s v="1500 W 94TH ST"/>
    <n v="55431"/>
    <n v="44.833905999999999"/>
    <n v="-93.301698000000002"/>
    <m/>
    <m/>
    <m/>
    <m/>
    <m/>
    <m/>
    <m/>
    <m/>
    <s v="Metro"/>
    <x v="6"/>
  </r>
  <r>
    <x v="24"/>
    <d v="2024-01-22T00:00:00"/>
    <x v="816"/>
    <s v="Owatonna"/>
    <s v="Steele"/>
    <s v="MN"/>
    <s v="Saia Inc purchased a building located at 200 32nd Ave. NW, with 23,750 square feet for $14 million. Steele County valued the property as being worth $1.2 million. Ryan Nolander, a principal at Hamilton Real Estate in Rochester, said Owatonna makes sense from a logistics standpoint because it is connected to two major corridors, Interstate 35 and Highway 14. "/>
    <s v="DW"/>
    <n v="14000000"/>
    <m/>
    <x v="0"/>
    <n v="23750"/>
    <x v="0"/>
    <x v="21"/>
    <s v="https://finance-commerce.com/2024/01/owatonna-warehouse-fetches-14m/"/>
    <s v="Finance &amp; Commerce"/>
    <s v="200 32nd Avenue Northwest"/>
    <n v="55060"/>
    <n v="44.085822999999998"/>
    <n v="-93.268253999999999"/>
    <m/>
    <m/>
    <m/>
    <m/>
    <m/>
    <m/>
    <m/>
    <m/>
    <s v="South"/>
    <x v="6"/>
  </r>
  <r>
    <x v="24"/>
    <d v="2024-01-22T00:00:00"/>
    <x v="817"/>
    <s v="Chaska"/>
    <s v="Carver"/>
    <s v="MN"/>
    <s v="Iowa-based LightEdge Solutions is expanding into Minnesota with the purchase of a 76,000-square-foot data center in Chaska, for $31 million. LightEdge is planning to hire additional sales and support staff to expand operations at the Chaska data center. LightEdge also plans to add more security certifications so that it can acquire local clients in highly regulated industries like finance, insurance and healthcare. About 30,000 square feet of data hall space is available for immediate expansion. "/>
    <s v="DC"/>
    <m/>
    <m/>
    <x v="0"/>
    <n v="30000"/>
    <x v="29"/>
    <x v="9"/>
    <s v="https://www.bizjournals.com/twincities/news/2024/01/22/lightedge-buys-chaska-data-center-for-31-million.html"/>
    <s v="Minneapolis-St. Paul Business Journal"/>
    <s v="1708 West Creek Lane"/>
    <n v="55318"/>
    <n v="44.808489000000002"/>
    <n v="-93.637478000000002"/>
    <m/>
    <m/>
    <m/>
    <m/>
    <m/>
    <m/>
    <m/>
    <m/>
    <s v="Metro"/>
    <x v="6"/>
  </r>
  <r>
    <x v="24"/>
    <d v="2024-01-29T00:00:00"/>
    <x v="60"/>
    <s v="Duluth"/>
    <s v="St. Louis"/>
    <s v="MN"/>
    <s v="Retailing giant Amazon.com Inc. purchased an 18-acre parcel in a Duluth business park with plans to build a new distribution center at the site. The project will cost at least $9 million. No incentives were offered for the purchase.  Amazon.com Services bought the property last month for $90,324 from the Duluth EDA. _x000a__x000a_Daniel Fanning, executive director of the Duluth Chamber Foundation, said the site will be an Amazon distribution center. _x000a_Construction is already underway, and slated for completion by 2025."/>
    <s v="DW"/>
    <n v="9000000"/>
    <n v="100"/>
    <x v="0"/>
    <n v="54789"/>
    <x v="0"/>
    <x v="8"/>
    <s v="https://www.bizjournals.com/twincities/news/2024/01/29/amazon-duluth-distribution-center.html"/>
    <s v="Minneapolis-St. Paul Business Journal"/>
    <s v="2302 Commonwealth Ave"/>
    <n v="55808"/>
    <n v="46.680007000000003"/>
    <n v="-92.225217999999998"/>
    <m/>
    <m/>
    <m/>
    <m/>
    <m/>
    <m/>
    <m/>
    <m/>
    <s v="Northeast"/>
    <x v="6"/>
  </r>
  <r>
    <x v="24"/>
    <d v="2024-01-29T00:00:00"/>
    <x v="818"/>
    <s v="Duluth"/>
    <s v="St. Louis"/>
    <s v="MN"/>
    <s v="About a year into operations as ST Paper, Duluth's longtime paper mill was sold to an Italian paper products company, Sofidel.  Sofidel will invest $250M to convert production equipment from producing jumbo paper reels to producing paper products for household retail and commercial markets. It will likely take about three years to complete the transformation, which includes expanding the plant and adding warehouse space. While ST Paper currently employs about 80 people, Sofidel will need around 240 workers. Sofidel will invest $140-$200 million. With the Duluth acquisition, Sofidel owns seven U.S. mills._x000a_DEED Awards: MIF $1.68M, JCF: $3.12M"/>
    <s v="MF"/>
    <n v="250000000"/>
    <n v="160"/>
    <x v="25"/>
    <n v="588759"/>
    <x v="67"/>
    <x v="1"/>
    <s v="https://www.bizjournals.com/twincities/news/2024/10/10/paper-mill-expansion-250m.html"/>
    <s v="Minneapolis-St. Paul Business Journal"/>
    <s v="100 N Central Ave"/>
    <n v="55807"/>
    <n v="46.734701999999999"/>
    <n v="-92.162040000000005"/>
    <m/>
    <s v="10/2024 Duluth/St Louis County: $600K tax credits, $242K forgivable loan, $14.3 million tax increment financing package.  DEED for Sofidel: MIF $3.12M. JCF $1.68M. DEED to City of Duluth $2.4M cleanup grant"/>
    <n v="22341086"/>
    <m/>
    <s v="Sofidel"/>
    <m/>
    <m/>
    <s v="Italy"/>
    <s v="Northeast"/>
    <x v="6"/>
  </r>
  <r>
    <x v="24"/>
    <d v="2024-02-02T00:00:00"/>
    <x v="819"/>
    <s v="Big Lake"/>
    <s v="Sherburne"/>
    <s v="MN"/>
    <s v="LISI Medical Remmele, Inc. (NAICS 339112) is looking to expand in Big Lake. LISI-Medical is a division of LISI-Group. LISI-Medical is a prominent manufacturer of medical devices, particularly orthopedic implants and instruments for minimally invasive surgery. The company is looking to expand the facility by roughly 45,000 to 50,000 square feet. The total project cost is $23.6 million, for renovations, new machinery and equipment, and other expenses. The company expects to create 30 jobs within the first 3 years._x000a_DEED Award: JCF $450K"/>
    <s v="MF"/>
    <n v="23578711"/>
    <n v="30"/>
    <x v="0"/>
    <n v="50000"/>
    <x v="11"/>
    <x v="1"/>
    <s v="https://mn.gov/deed/newscenter/press-releases/?id=1045-642096"/>
    <s v="DEED"/>
    <s v="17701 198th Ave"/>
    <n v="55309"/>
    <n v="45.331040999999999"/>
    <n v="-93.722638000000003"/>
    <s v="Government"/>
    <s v="JCF ($450K)"/>
    <n v="450000"/>
    <m/>
    <m/>
    <m/>
    <m/>
    <m/>
    <s v="Central"/>
    <x v="6"/>
  </r>
  <r>
    <x v="24"/>
    <d v="2024-02-06T00:00:00"/>
    <x v="820"/>
    <s v="Eagan"/>
    <s v="Dakota"/>
    <s v="MN"/>
    <s v="Accounting firm Clifton-Larson-Allen has signed a 16-year lease for 40,000 square feet of office space at the Viking Lakes campus in Eagan. The space will be in addition to the firm's downtown Minneapolis and other Minnesota offices._x000a__x000a_CLA will spend $10 million building out the space over the next year and plans to open the office in 2025.  The firm has more than 1,200 employees in the metro and headquarters out of the U.S. Bank Plaza building."/>
    <s v="OF"/>
    <n v="10000000"/>
    <m/>
    <x v="0"/>
    <n v="40000"/>
    <x v="34"/>
    <x v="4"/>
    <s v="https://www.bizjournals.com/twincities/news/2024/02/06/cliftonlarsonallen-signs-lease-at-viking-lakes.html"/>
    <s v="Minneapolis-St. Paul Business Journal"/>
    <s v="2685 Vikings Circle"/>
    <n v="55121"/>
    <n v="44.858483"/>
    <n v="-93.117902999999998"/>
    <m/>
    <m/>
    <m/>
    <m/>
    <m/>
    <m/>
    <m/>
    <m/>
    <s v="Metro"/>
    <x v="6"/>
  </r>
  <r>
    <x v="24"/>
    <d v="2024-02-06T00:00:00"/>
    <x v="742"/>
    <s v="Bloomington"/>
    <s v="Hennepin"/>
    <s v="MN"/>
    <s v="Bloomington Construction Permit: General Dynamics - 8800 Queen Ave S - Phase II 2024 Project. Convert existing office space into high security SAPF (Special Access Program Facilities) area. Relocate existing bathrooms into existing office space."/>
    <s v="OF, Other"/>
    <n v="4200000"/>
    <m/>
    <x v="0"/>
    <m/>
    <x v="22"/>
    <x v="1"/>
    <s v="https://www.bloomingtonmn.gov/bldg/permit-status-inspection-results-and-monthly-building-reports"/>
    <s v="City of Bloomington"/>
    <s v="8800 QUEEN AVE S, BLOOMINGTON, MN 55431"/>
    <n v="55431"/>
    <n v="44.843409000000001"/>
    <n v="-93.312070000000006"/>
    <m/>
    <m/>
    <m/>
    <m/>
    <m/>
    <m/>
    <m/>
    <m/>
    <s v="Metro"/>
    <x v="6"/>
  </r>
  <r>
    <x v="24"/>
    <d v="2024-02-09T00:00:00"/>
    <x v="821"/>
    <s v="Maple Grove"/>
    <s v="Hennepin"/>
    <s v="MN"/>
    <s v="BAE Systems Land &amp; Armaments, the British arms and aerospace manufacturer, is the mystery company behind Maple Grove's &quot;Project Libre&quot; that's planning to build a 236,000-square-foot manufacturing, warehouse and R&amp;D facility in the Twin Cities suburb, and could create as many as 500 new jobs. Maple Grove is considering a $600,000 tax increment financing plan. BAE already has a presence in the state, with facilities in Fridley and Minneapolis, making and supporting artillery guns, tanks, combat vehicles and other equipment. Update: Broke ground in April 2024."/>
    <s v="MF, RD, DW"/>
    <n v="31000000"/>
    <n v="500"/>
    <x v="0"/>
    <n v="248000"/>
    <x v="22"/>
    <x v="1"/>
    <s v="https://www.bizjournals.com/twincities/news/2024/02/09/bae-systems-maple-grove-project-libre.html"/>
    <s v="Minneapolis-St. Paul Business Journal"/>
    <m/>
    <n v="55369"/>
    <n v="45.127445999999999"/>
    <n v="-93.445398999999995"/>
    <s v="Government"/>
    <s v="Potentially: Maple Grove TIF $600K"/>
    <n v="600000"/>
    <s v="y"/>
    <s v="BAE"/>
    <m/>
    <m/>
    <s v="UK"/>
    <s v="Metro"/>
    <x v="6"/>
  </r>
  <r>
    <x v="24"/>
    <d v="2024-02-14T00:00:00"/>
    <x v="822"/>
    <s v="Becker"/>
    <s v="Sherburne"/>
    <s v="MN"/>
    <s v="Microsoft Corp. purchased nearly 300 acres of land in Becker, Minnesota, from Xcel Energy for a new data center. The technology giant purchased six parcels for nearly $17.7 million. It's not known how big a project Microsoft is planning here. _x000a__x000a_Xcel had previously secured a deal with Google to build a large data center in Becker but terminated that deal in late 2022.  Xcel is also working with Elk River Technologies to sell 348 acres near its Becker coal plants for another data center._x000a__x000a_Xcel confirmed that the Microsoft site was distinct from the Google and Elk River sites."/>
    <s v="DC"/>
    <m/>
    <m/>
    <x v="0"/>
    <m/>
    <x v="25"/>
    <x v="9"/>
    <s v="https://www.bizjournals.com/twincities/news/2024/02/14/microsoft-becker-xcel-energy-land-data-center.html"/>
    <s v="Minneapolis-St. Paul Business Journal"/>
    <m/>
    <n v="55308"/>
    <n v="45.451864"/>
    <n v="-93.842186999999996"/>
    <m/>
    <m/>
    <m/>
    <m/>
    <m/>
    <m/>
    <m/>
    <m/>
    <s v="Central"/>
    <x v="6"/>
  </r>
  <r>
    <x v="24"/>
    <d v="2024-02-20T00:00:00"/>
    <x v="823"/>
    <s v="Saint Paul"/>
    <s v="Ramsey"/>
    <s v="MN"/>
    <s v="J&amp;L Wire Cloth LLC (NAICS 332618) is looking to expand in St. Paul. J&amp;L Wire Cloth is a leading manufacturer of galvanized  wire decking and shelving used in warehouse storage, material handling, and logistics. The company plans to build a 30,000 square foot building on land owned by its parent company. The total project cost is $9.6 million, covering site improvements, new construction, and new machinery and equipment. The company expects to  create 15 jobs within the first 3 years. _x000a_DEED Awards: $178K for Contaminent Cleanup. MIF $250K, JCF $175K"/>
    <s v="MF"/>
    <n v="9577841"/>
    <n v="15"/>
    <x v="0"/>
    <n v="30000"/>
    <x v="82"/>
    <x v="1"/>
    <s v="https://mn.gov/deed/newscenter/press-releases/?id=1045-625763"/>
    <s v="DEED"/>
    <s v="268 W Water St"/>
    <n v="55107"/>
    <n v="44.934173999999999"/>
    <n v="-93.097359999999995"/>
    <s v="Government"/>
    <s v="Contamination Cleanup"/>
    <n v="178075"/>
    <m/>
    <m/>
    <m/>
    <m/>
    <m/>
    <s v="Metro"/>
    <x v="6"/>
  </r>
  <r>
    <x v="24"/>
    <d v="2024-02-21T00:00:00"/>
    <x v="824"/>
    <s v="North Mankato"/>
    <s v="Nicollet"/>
    <s v="MN"/>
    <s v="Kato Engineering Inc. (NAICS 335312) is looking to expand in North Mankato. Kato Engineering provides custom power generaton solutions for a wide range of applications. The total project _x000a_cost $7.2 million. Construction includes site improvement and renovations of an existing building. Expenditures also include $4 million for the purchase of machinery and equipment. The company expects to create 42 jobs within two years at an average cash wage of $24.99 per hour. _x000a_DEED Awards: $175K JCF, MIF $300K"/>
    <s v="MF"/>
    <n v="7202935"/>
    <n v="42"/>
    <x v="0"/>
    <m/>
    <x v="7"/>
    <x v="1"/>
    <s v="https://mn.gov/deed/newscenter/press-releases/?id=1045-625763"/>
    <s v="DEED"/>
    <s v="2075 W Howard Dr"/>
    <n v="56003"/>
    <n v="44.183073999999998"/>
    <n v="-94.050661000000005"/>
    <s v="Government"/>
    <s v="MIF ($300K), JCF ($175K)"/>
    <m/>
    <m/>
    <m/>
    <m/>
    <m/>
    <m/>
    <s v="South"/>
    <x v="6"/>
  </r>
  <r>
    <x v="24"/>
    <d v="2024-02-26T00:00:00"/>
    <x v="825"/>
    <s v="Oakdale"/>
    <s v="Ramsey"/>
    <s v="MN"/>
    <s v="Pace Analytical Life Sciences, LLC (NAICS 541380) is looking to expand in Oakdale (Washington County). Pace Analytical Life Sciences, LLC is a full-service contract development and manufacturing organization (CDMO). The proposed project will be leasing 7,864 square feet more office space where the existing facility is located. The total project cost $3.6 million, which includes the cost of renovations. The company expected to create 59 jobs within three years at an average wage of $43.37 per hour. _x000a_DEED Awards: MIF $450K, JCF $539K"/>
    <s v="OF"/>
    <n v="3601013"/>
    <n v="59"/>
    <x v="0"/>
    <n v="7864"/>
    <x v="75"/>
    <x v="4"/>
    <s v="https://mn.gov/deed/newscenter/press-releases/?id=1045-625763"/>
    <s v="DEED"/>
    <s v="1311 Helmo Ave N"/>
    <n v="55128"/>
    <n v="44.968511999999997"/>
    <n v="-92.955151000000001"/>
    <s v="Government"/>
    <s v="MIF ($450K), JCF ($539K)"/>
    <n v="989236"/>
    <m/>
    <m/>
    <m/>
    <m/>
    <m/>
    <s v="Metro"/>
    <x v="6"/>
  </r>
  <r>
    <x v="24"/>
    <d v="2024-02-27T00:00:00"/>
    <x v="826"/>
    <s v="Farmington"/>
    <s v="Dakota"/>
    <s v="MN"/>
    <s v="The City of Farmington has been in talks with R&amp;L Carriers, a provider of shipping and logistics services, about a 100,000-square-foot expansion of its space in the Farmington Industrial Park. That project will go through the entitlement process this year and could also be under construction in 2024, said Deanna Kuennen, Farmington’s community development director."/>
    <s v="DW"/>
    <m/>
    <m/>
    <x v="0"/>
    <n v="100000"/>
    <x v="0"/>
    <x v="21"/>
    <s v="https://finance-commerce.com/2024/04/project-bengal-pitches-3-million-square-foot-industrial-project-in-farmington/"/>
    <s v="Finance &amp; Commerce"/>
    <s v="5260 208th St W,"/>
    <n v="55024"/>
    <n v="44.645271000000001"/>
    <n v="-93.173327999999998"/>
    <m/>
    <m/>
    <m/>
    <m/>
    <m/>
    <m/>
    <m/>
    <m/>
    <s v="Metro"/>
    <x v="6"/>
  </r>
  <r>
    <x v="24"/>
    <d v="2024-02-27T00:00:00"/>
    <x v="815"/>
    <s v="Bloomington"/>
    <s v="Hennepin"/>
    <s v="MN"/>
    <s v="Bloomington Construction Permit: Phase 2 Only - Tenant Improvement. Donaldson - 1400 Building Phase II - Workplace of the Future (WPOF)"/>
    <s v="OF"/>
    <n v="1350000"/>
    <m/>
    <x v="0"/>
    <m/>
    <x v="85"/>
    <x v="1"/>
    <s v="https://www.bloomingtonmn.gov/bldg/permit-status-inspection-results-and-monthly-building-reports"/>
    <s v="City of Bloomington"/>
    <s v="1400 W 94TH ST"/>
    <n v="55431"/>
    <n v="44.835090000000001"/>
    <n v="-93.298862"/>
    <m/>
    <m/>
    <m/>
    <m/>
    <m/>
    <m/>
    <m/>
    <m/>
    <s v="Metro"/>
    <x v="6"/>
  </r>
  <r>
    <x v="24"/>
    <d v="2024-03-01T00:00:00"/>
    <x v="827"/>
    <s v="Onamia"/>
    <s v="Mille Lacs"/>
    <s v="MN"/>
    <s v="Mille Lacs Corporate Ventures, the business arm of the Mille Lacs Band of Ojibwe, is building an indoor cannabis growing facility with 50,000 sqft of space that could be in production by September 2024. After its completion, it will take about five months before products are ready for retail sale. The facility is expected to produce about 1,600 pounds of flower per month. The new facility will create around 30 to 40 jobs. The facility cost is between $15 million and $20 million, funded by the Mille Lacs Band."/>
    <s v="AG/MF"/>
    <n v="20000000"/>
    <n v="40"/>
    <x v="0"/>
    <n v="50000"/>
    <x v="92"/>
    <x v="1"/>
    <s v="https://www.bizjournals.com/twincities/news/2024/03/01/mille-lacs-growing-cannabis-facility.html"/>
    <s v="Minneapolis-St. Paul Business Journal"/>
    <s v="777 Grand Ave"/>
    <n v="56359"/>
    <n v="45.943108000000002"/>
    <n v="-93.663151999999997"/>
    <m/>
    <m/>
    <m/>
    <m/>
    <m/>
    <m/>
    <m/>
    <m/>
    <s v="Central"/>
    <x v="6"/>
  </r>
  <r>
    <x v="24"/>
    <d v="2024-03-04T00:00:00"/>
    <x v="828"/>
    <s v="Plymouth"/>
    <s v="Hennepin"/>
    <s v="MN"/>
    <s v="Upsher-Smith Laboratories (USL), a global company with locations in Plymouth and Maple Grove, specializes in pharmaceutical packaging and generic pharmaceuticals. In 2023, the company opened a new 270,000 square foot facility in Maple Grove where it employs 161 workers. They received an MJSP grant to train 168 people (including 35 new hires) between March 2024 to Oct. 2026. Their training partner is Hennepin Technical College. The custom training  program covers manufacturing fundamentals (to use new automated equipment and robotics) and occupational English. "/>
    <m/>
    <n v="561099"/>
    <n v="35"/>
    <x v="0"/>
    <m/>
    <x v="53"/>
    <x v="1"/>
    <s v="https://mn.gov/deed/newscenter/press-releases/?id=622815"/>
    <s v="DEED (MJSP)"/>
    <s v="14905 23rd Ave N"/>
    <n v="55447"/>
    <n v="45.003431999999997"/>
    <n v="-93.470045999999996"/>
    <s v="Government"/>
    <s v="MJSP"/>
    <n v="226729"/>
    <m/>
    <m/>
    <m/>
    <m/>
    <m/>
    <s v="Metro"/>
    <x v="6"/>
  </r>
  <r>
    <x v="24"/>
    <d v="2024-03-04T00:00:00"/>
    <x v="829"/>
    <s v="St Louis Park"/>
    <s v="Hennepin"/>
    <s v="MN"/>
    <s v="Japs-Olson Company, located in St. Louis Park, is a third-generation, family-owned business that provides full-service custom print and direct mail services. Received MJSP grant for training 568 workers (including 98 new hires) between March 2024 and Oct. 2026. Training partner is Hennepin Technical college. Training aims to increase operational efficiences, DEI, conflict management, leadership, and Microsoft Office._x000a_DEED Award: MJSP $123,434"/>
    <m/>
    <n v="431924"/>
    <n v="98"/>
    <x v="0"/>
    <m/>
    <x v="42"/>
    <x v="1"/>
    <s v="https://mn.gov/deed/newscenter/press-releases/?id=622815"/>
    <s v="DEED (MJSP)"/>
    <s v="7500 Excelsior Blvd"/>
    <n v="55426"/>
    <n v="44.927028999999997"/>
    <n v="-93.377159000000006"/>
    <s v="Government"/>
    <s v="MJSP"/>
    <n v="123434"/>
    <m/>
    <m/>
    <m/>
    <m/>
    <m/>
    <s v="Metro"/>
    <x v="6"/>
  </r>
  <r>
    <x v="24"/>
    <d v="2024-03-04T00:00:00"/>
    <x v="830"/>
    <s v="Mankato"/>
    <s v="Blue Earth"/>
    <s v="MN"/>
    <s v="Kato Cable is a world class wire harness and cable assembly manufacturer located in Mankato.  Kato Cable has a payroll of 135 FTE workers. They expect that will increase to over 200 within three to five years. Their new planned expansion will triple the current manufacturing space at 99 Power Drive. Kato requested a loan of $500,000 from the EDA, to repaid over 15 years. Kato will use the funds to prepare a recently purchased property next to its current site for a 40,000-square-foot expansion. The $5 million construction project will be covered by $1 million of cash from Kato and a $4 million bank loan."/>
    <s v="MF"/>
    <n v="7470000"/>
    <n v="65"/>
    <x v="0"/>
    <n v="40000"/>
    <x v="82"/>
    <x v="1"/>
    <s v="https://infoweb.newsbank.com/apps/news/document-view?p=NewsBank&amp;docref=news/1979C69ECF45CA40&amp;f=basic"/>
    <s v="News Bank"/>
    <s v="99 Power Dr"/>
    <n v="56001"/>
    <n v="44.180294000000004"/>
    <n v="-93.939183999999997"/>
    <m/>
    <m/>
    <m/>
    <m/>
    <m/>
    <m/>
    <m/>
    <m/>
    <s v="South"/>
    <x v="6"/>
  </r>
  <r>
    <x v="24"/>
    <d v="2024-03-06T00:00:00"/>
    <x v="831"/>
    <s v="Woodbury"/>
    <s v="Washington"/>
    <s v="MN"/>
    <s v="An entity associated with contractor Kraft Mechanical has purchased Hohenstein's Woodbury 90,607 sqft headquarters at 2330 Ventura Drive for $10.75 million. The property was available because Hohenstein's is relocating to Cottage Grove. Kraft has been operating nearby at 2415 Ventura Drive in Woodbury. Kraft had good reason to make the purchase because it allows Kraft to consolidate its operations from three buildings into one, and to improve its operations without new construction."/>
    <s v="DW"/>
    <n v="10750000"/>
    <m/>
    <x v="0"/>
    <n v="90607"/>
    <x v="0"/>
    <x v="11"/>
    <s v="https://www.bizjournals.com/twincities/news/2024/03/06/hohensteins-sells-woodbury-headquarters.html"/>
    <s v="Minneapolis-St. Paul Business Journal"/>
    <s v=" 2330 Ventura Drive"/>
    <n v="55125"/>
    <n v="44.914693"/>
    <n v="-92.974720000000005"/>
    <m/>
    <m/>
    <m/>
    <m/>
    <m/>
    <m/>
    <m/>
    <m/>
    <s v="Metro"/>
    <x v="6"/>
  </r>
  <r>
    <x v="24"/>
    <d v="2024-03-06T00:00:00"/>
    <x v="832"/>
    <s v="Cottage Grove"/>
    <s v="Washington"/>
    <s v="MN"/>
    <s v="Wholesale beer distributor Hohenstein’s Inc is relocating its HQ from Woodbury to a new 160,000-square-foot headquarters (also serving as a new warehouse distribution center) in Cottage Grove this summer._x000a_The new warehouse and office facility cost about $17 million. For the past couple decades, Hohenstein's has specialized as a wholesale distributor of domestic, imported and craft beer."/>
    <s v="HQ, DW"/>
    <n v="17000000"/>
    <m/>
    <x v="0"/>
    <n v="160785"/>
    <x v="0"/>
    <x v="10"/>
    <s v="https://www.bizjournals.com/twincities/news/2024/03/06/hohensteins-sells-woodbury-headquarters.html"/>
    <s v="Minneapolis-St. Paul Business Journal"/>
    <s v=" 95th Street South and Jamaica Avenue South"/>
    <n v="55016"/>
    <n v="44.818216"/>
    <n v="-92.928610000000006"/>
    <m/>
    <m/>
    <m/>
    <m/>
    <m/>
    <m/>
    <m/>
    <m/>
    <s v="Metro"/>
    <x v="6"/>
  </r>
  <r>
    <x v="24"/>
    <d v="2024-03-12T00:00:00"/>
    <x v="833"/>
    <s v="Chanhassen"/>
    <s v="Carver"/>
    <s v="MN"/>
    <s v="Retail technology-systems company Direct Source has Chanhassen office and warehouse headquarters. Direct Source employs about 100 people working at its headquarters and 3,000 contracted technicians._x000a__x000a_Renovation off their headquarters costed the company “multi-millions&quot;. The renovation entailed a complete overhaul of the office space, which takes up about 25,000 square feet. Direct Source provides workers with a &quot;flexible&quot; work model."/>
    <s v="OF, DW"/>
    <m/>
    <m/>
    <x v="0"/>
    <m/>
    <x v="3"/>
    <x v="4"/>
    <s v="https://www.bizjournals.com/twincities/news/2024/03/12/direct-source-chanhassen-reno.html"/>
    <s v="Minneapolis-St. Paul Business Journal"/>
    <s v="8176 Mallory Ct"/>
    <n v="55317"/>
    <n v="44.855429999999998"/>
    <n v="-93.554826000000006"/>
    <m/>
    <m/>
    <m/>
    <m/>
    <m/>
    <m/>
    <m/>
    <m/>
    <s v="Metro"/>
    <x v="6"/>
  </r>
  <r>
    <x v="24"/>
    <d v="2024-03-14T00:00:00"/>
    <x v="834"/>
    <s v="Walker"/>
    <s v="Cass"/>
    <s v="MN"/>
    <s v="Walker area natives Luke and Alise McGregor purchased YoYo Donuts, a gourmet donut store, in Minnetonka early in 2023. As business has grown, a second location in downtown Walker was opened in Spring of 2023. The products are sold locally and shipped all across the country. When production capacity neared its limit, the owners planned to add a full production kitchen for the Walker store. Renovations are underway at the Walker location and are expected to be completed by May 1. _x000a_DEED Award: MIF ($190K)"/>
    <s v="MF"/>
    <n v="801812"/>
    <n v="15"/>
    <x v="0"/>
    <m/>
    <x v="56"/>
    <x v="1"/>
    <s v="https://www.pineconepresscitizen.com/news/2024/apr/05/yoyo-donuts-brings-full-production-to-downtown-walker/"/>
    <s v="Pine Cone Press Citizen"/>
    <s v="407 Minnesota Ave"/>
    <n v="56484"/>
    <n v="47.101638000000001"/>
    <n v="-94.581433000000004"/>
    <s v="Government"/>
    <s v="MIF ($190K)"/>
    <n v="190000"/>
    <m/>
    <m/>
    <m/>
    <m/>
    <m/>
    <s v="Central"/>
    <x v="6"/>
  </r>
  <r>
    <x v="24"/>
    <d v="2024-03-19T00:00:00"/>
    <x v="835"/>
    <s v="Minneapolis"/>
    <s v="Hennepin"/>
    <s v="MN"/>
    <s v="First Resource Bank will move its corporate headquarters from Stillwater to Minneapolis' Mill District. The bank expects its new corporate offices to open this summer in the Ironclad Building, Currently, the bank has around 2,000 square feet for its branch already in the Ironclad. When the project is completed, the bank will have more than 6,000 square feet of space in the building. The location will be more accessible to its customer base."/>
    <s v="HQ, MF"/>
    <m/>
    <m/>
    <x v="0"/>
    <n v="4000"/>
    <x v="0"/>
    <x v="6"/>
    <s v="https://www.bizjournals.com/twincities/news/2024/03/19/first-resource-bank-moving-to-mill-district.html"/>
    <s v="Minneapolis-St. Paul Business Journal"/>
    <s v="811 Washington Ave S"/>
    <n v="55415"/>
    <n v="44.976573000000002"/>
    <n v="-93.256665999999996"/>
    <m/>
    <m/>
    <m/>
    <m/>
    <m/>
    <m/>
    <m/>
    <m/>
    <s v="Metro"/>
    <x v="6"/>
  </r>
  <r>
    <x v="24"/>
    <d v="2024-03-31T00:00:00"/>
    <x v="836"/>
    <s v="Coon Rapids"/>
    <s v="Anoka"/>
    <s v="MN"/>
    <s v="PHOENIX Preclinical Labs is a Contract Research Organization (CRO) that provides evaluation and testing of Medical Devices and Biomedical Materials.  Our ~126,000 sq. ft. facility will open in Coon Rapids in July 2024. Build out of nearly $11 million in construction. (from Coon Rapids Building Permits report, 2024-Q1)."/>
    <s v="RD"/>
    <n v="10836000"/>
    <m/>
    <x v="0"/>
    <m/>
    <x v="93"/>
    <x v="4"/>
    <s v="https://www.coonrapidsmn.gov/ArchiveCenter/ViewFile/Item/1350"/>
    <s v="City of Coon Rapids"/>
    <s v="501 90th Ave"/>
    <n v="55433"/>
    <n v="45.132492999999997"/>
    <n v="-93.279548000000005"/>
    <m/>
    <m/>
    <m/>
    <m/>
    <m/>
    <m/>
    <m/>
    <m/>
    <s v="Metro"/>
    <x v="6"/>
  </r>
  <r>
    <x v="24"/>
    <d v="2024-03-31T00:00:00"/>
    <x v="837"/>
    <s v="Coon Rapids"/>
    <s v="Anoka"/>
    <s v="MN"/>
    <s v="Site Plans were approved for a 25,570 square foot expansion to the existing IDC Automatic industrial building. This would allow the business to achieve its goal of moving out of its leased space at 9355 Holly Street and keep its operations all within one building. idc-Automatic is a leader in high-performance residential, commercial,  industrial and custom garage doors for families and businesses in Minneapolis, St. Paul area."/>
    <s v="MF"/>
    <m/>
    <m/>
    <x v="0"/>
    <n v="25570"/>
    <x v="82"/>
    <x v="1"/>
    <s v="https://www.coonrapidsmn.gov/ArchiveCenter/ViewFile/Item/1350"/>
    <s v="City of Coon Rapids"/>
    <s v="360 Coon Rapids Blvd"/>
    <n v="55433"/>
    <n v="45.140276"/>
    <n v="-93.277462"/>
    <m/>
    <m/>
    <m/>
    <m/>
    <m/>
    <m/>
    <m/>
    <m/>
    <s v="Metro"/>
    <x v="6"/>
  </r>
  <r>
    <x v="24"/>
    <d v="2024-03-31T00:00:00"/>
    <x v="838"/>
    <s v="Lakeville"/>
    <s v="Dakota"/>
    <s v="MN"/>
    <s v="Post Consumer Brands began construction in June on its_x000a_new pet food pilot plant to be located at 21370 Heywood Avenue. Lakeville issued the highest building permit through March 2024 to Post Consumer Brands valued at $3,000,000 for improvements to a newly acquired facility in the industrial park. "/>
    <s v="MF"/>
    <n v="3000000"/>
    <m/>
    <x v="0"/>
    <m/>
    <x v="56"/>
    <x v="1"/>
    <s v="https://gis2.lakevillemn.gov/portal/apps/storymaps/stories/da11cc2721624420aa8dae5b20c7d75d"/>
    <s v="City of Lakeville"/>
    <s v="21370 Heywood_x000a_Avenue"/>
    <n v="55044"/>
    <n v="44.640478000000002"/>
    <n v="-93.236052000000001"/>
    <m/>
    <m/>
    <m/>
    <m/>
    <m/>
    <m/>
    <m/>
    <m/>
    <s v="Metro"/>
    <x v="6"/>
  </r>
  <r>
    <x v="24"/>
    <d v="2024-04-09T00:00:00"/>
    <x v="839"/>
    <s v="Minneapolis"/>
    <s v="Hennepin"/>
    <s v="MN"/>
    <s v="Real estate development company Schafer Richardson has moved into a newly built out headquarters just across the street from its former home in Minneapolis' North Loop. Schafer moved into its new headquarters in Basset Creek Business Center, a building it owns at 901 N. Third St., last month. The new space on the 1st and 2nd floors is over 25,000 square feet. "/>
    <s v="OF"/>
    <m/>
    <m/>
    <x v="0"/>
    <n v="18000"/>
    <x v="0"/>
    <x v="22"/>
    <s v="https://www.bizjournals.com/twincities/news/2024/04/09/schafer-richardson-north-loop-minneapolis-hq.html"/>
    <s v="Minneapolis-St. Paul Business Journal"/>
    <s v="901 N. Third St.,"/>
    <n v="55401"/>
    <n v="44.98874"/>
    <n v="-93.281492999999998"/>
    <m/>
    <m/>
    <m/>
    <m/>
    <m/>
    <m/>
    <m/>
    <m/>
    <s v="Metro"/>
    <x v="6"/>
  </r>
  <r>
    <x v="25"/>
    <d v="2024-04-23T00:00:00"/>
    <x v="840"/>
    <s v="Minneapolis"/>
    <s v="Hennepin"/>
    <s v="MN"/>
    <s v="Yardstik, a tech startup that helps streamline the hiring and onboarding of new employees, is moving its headquarters from Edina to downtown Minneapolis. The company will move to 100 Washington Square, into a 14,000 square feet space, more than double the size of its previous space in Edina. The company's customer base has grown from 175 a year ago to more than 700. Its staff as grown to 52 employees, 14 of them hired over the past year. They've stayed busy hiring for positions in sales, marketing and product engineering."/>
    <s v="OF"/>
    <m/>
    <m/>
    <x v="0"/>
    <n v="8000"/>
    <x v="3"/>
    <x v="4"/>
    <s v="https://www.bizjournals.com/twincities/inno/stories/news/2024/04/23/yardstiks-new-hq-in-downtown.html"/>
    <s v="Minneapolis-St. Paul Business Journal"/>
    <s v="100 Washington Square,"/>
    <n v="55401"/>
    <n v="44.983297999999998"/>
    <n v="-93.270049"/>
    <m/>
    <m/>
    <m/>
    <m/>
    <m/>
    <m/>
    <m/>
    <m/>
    <s v="Metro"/>
    <x v="6"/>
  </r>
  <r>
    <x v="25"/>
    <d v="2024-04-23T00:00:00"/>
    <x v="841"/>
    <s v="Chisago"/>
    <s v="Chisago"/>
    <s v="MN"/>
    <s v="LEI Packaging is a premier manufacturer of molded pulp packaging (such as egg cartons), made from 100% recycled paper. _x000a_Chisago County EDA passed a resolution to support LEI's expansion with a loan of up to $100K. _x000a__x000a_BDPI Award to the city of Chisago of $214,270 will assist in the construction of a street and utilities for their expanded industrial park. The expanded infrastructure supports expansions of two committed businesses, including LEI Packaging and King Kind, - who plan a combine investment of $34 million in buildings and equipment and would create 26 jobs. "/>
    <s v="MF"/>
    <m/>
    <m/>
    <x v="0"/>
    <m/>
    <x v="67"/>
    <x v="1"/>
    <s v="https://www.ci.chisago.mn.us/vertical/sites/%7B4CF416A7-935D-4E3F-82DF-F3E06B5985B0%7D/uploads/04.09.24_EDA_MINUTES.pdf"/>
    <s v="Chisago County EDA"/>
    <s v="29720 Lofton Ave"/>
    <n v="55013"/>
    <n v="45.362620999999997"/>
    <n v="-92.902260999999996"/>
    <s v="Government"/>
    <s v="BDPI (part of $214,270), Chisago County ($100K)"/>
    <m/>
    <m/>
    <m/>
    <m/>
    <m/>
    <m/>
    <s v="Central"/>
    <x v="6"/>
  </r>
  <r>
    <x v="25"/>
    <d v="2024-04-25T00:00:00"/>
    <x v="842"/>
    <s v="Saint Paul"/>
    <s v="Ramsey"/>
    <s v="MN"/>
    <s v="Cogwear, a small Philadelphia-based medical device startup that makes a headband to monitor brain activity, is opening a new facility in St. Paul. The expansion will produce its second-generation device, designed to deliver real-time brain insights. In addition to health care applications, it is also used in advertising and athletics. Company is working to get FDA clearance. The new site will have automated manufacturing for the wearable device's proprietary sensors."/>
    <s v="MF"/>
    <m/>
    <m/>
    <x v="0"/>
    <m/>
    <x v="11"/>
    <x v="1"/>
    <s v="https://www.bizjournals.com/twincities/inno/stories/news/2024/04/25/cogwear-to-open-st-paul-facility.html"/>
    <s v="Minneapolis-St. Paul Business Journal"/>
    <s v="2300 Myrtle Ave"/>
    <n v="55114"/>
    <n v="44.961851000000003"/>
    <n v="-93.195984999999993"/>
    <m/>
    <m/>
    <m/>
    <m/>
    <m/>
    <m/>
    <m/>
    <m/>
    <s v="Metro"/>
    <x v="6"/>
  </r>
  <r>
    <x v="25"/>
    <d v="2024-04-29T00:00:00"/>
    <x v="518"/>
    <s v="St Louis Park"/>
    <s v="Hennepin"/>
    <s v="MN"/>
    <s v="A new $1 million solar array is giving Nordic Ware’s headquarters in St. Louis Park a distinctive look as well as a sustainable source of power. Blaine-based Cedar Creek Energy partnered with Nordic Ware on the array, which generates about 450,000 kilowatts of electricity for the kitchenware company’s energy-intensive manufacturing building. The project will offset 5% of Nordic Ware’s yearly energy usage. The installation was completed in January."/>
    <s v="MF"/>
    <n v="1000000"/>
    <m/>
    <x v="0"/>
    <m/>
    <x v="82"/>
    <x v="1"/>
    <s v="https://finance-commerce.com/2024/04/nordic-wares-headquarters-features-solar-facade/"/>
    <s v="Finance &amp; Commerce"/>
    <s v="5005 Minnetonka Blvd."/>
    <n v="55416"/>
    <n v="44.948047000000003"/>
    <n v="-93.342881000000006"/>
    <m/>
    <m/>
    <m/>
    <m/>
    <m/>
    <m/>
    <m/>
    <m/>
    <s v="Metro"/>
    <x v="6"/>
  </r>
  <r>
    <x v="25"/>
    <d v="2024-05-02T00:00:00"/>
    <x v="843"/>
    <s v="Bloomington"/>
    <s v="Hennepin"/>
    <s v="MN"/>
    <s v="Normandale Lake Office Park 8500 Robert Half. Office Remodel. Bloomington Construction Permits. Robert Half's dedicated recruiters use smart matching technology to help place professionals in temporary and/or permanent positions. The company specializes in Finance &amp; Accounting, Administrative &amp; Customer Support, Technology, Marketing &amp; Creative, and Legal positions."/>
    <s v="OF"/>
    <n v="407650"/>
    <m/>
    <x v="0"/>
    <m/>
    <x v="94"/>
    <x v="5"/>
    <s v="https://www.bloomingtonmn.gov/bldg/permit-status-inspection-results-and-monthly-building-reports"/>
    <s v="City of Bloomington"/>
    <s v="5800 W 84TH ST"/>
    <n v="55437"/>
    <n v="44.854151999999999"/>
    <n v="-93.357275999999999"/>
    <m/>
    <m/>
    <m/>
    <m/>
    <m/>
    <m/>
    <m/>
    <m/>
    <s v="Metro"/>
    <x v="6"/>
  </r>
  <r>
    <x v="25"/>
    <d v="2024-05-03T00:00:00"/>
    <x v="844"/>
    <s v="Jackson"/>
    <s v="Jackson"/>
    <s v="MN"/>
    <s v="AGCO Corp., a Georgia-based agricultural-equipment manufacturer, opened a 16,000-square-foot &quot;customer experience center&quot; this week in Jackson, Minnesota, where the company operates a large manufacturing facility. The lodge will serve as Fednt's North American hub for dealer training, sales meetings and brand celebrations."/>
    <s v="Other"/>
    <m/>
    <m/>
    <x v="0"/>
    <n v="16000"/>
    <x v="85"/>
    <x v="1"/>
    <s v="https://www.bizjournals.com/twincities/news/2024/05/03/agco-corp-opens-customer-experience-center.html"/>
    <s v="Minneapolis-St. Paul Business Journal"/>
    <s v="202 Industrial Pkwy ·"/>
    <n v="56143"/>
    <n v="43.639848999999998"/>
    <n v="-94.976089999999999"/>
    <m/>
    <m/>
    <m/>
    <m/>
    <m/>
    <m/>
    <m/>
    <m/>
    <s v="South"/>
    <x v="6"/>
  </r>
  <r>
    <x v="25"/>
    <d v="2024-05-03T00:00:00"/>
    <x v="845"/>
    <s v="Kasson"/>
    <s v="Olmsted"/>
    <s v="MN"/>
    <s v="Twin Cities-based Egan Co. will soon break ground on May 13 on a 40,000-square-foot prefabrication facility in Kasson to support its area electrical contracting operations. The new prefabrication and warehouse complex will prefabricate electrical components and assemblies used in Egan contracting projects, completed and ready for use by January. Once this facility is up and running, 20 Egan employees will transfer from the Rochester office to Kasson. About 12 employees will remain in Rochester."/>
    <s v="WH"/>
    <m/>
    <m/>
    <x v="0"/>
    <n v="40000"/>
    <x v="0"/>
    <x v="11"/>
    <s v="https://infoweb.newsbank.com/apps/news/document-view?p=NewsBank&amp;docref=news/198D5257819ADF98&amp;f=basic"/>
    <s v="Rochester Post-Bulletin (News Bank)"/>
    <s v="500 Ninth St. SE"/>
    <n v="55976"/>
    <n v="43.842461"/>
    <n v="-92.480733999999998"/>
    <m/>
    <m/>
    <m/>
    <m/>
    <m/>
    <m/>
    <m/>
    <m/>
    <s v="South"/>
    <x v="6"/>
  </r>
  <r>
    <x v="25"/>
    <d v="2024-05-07T00:00:00"/>
    <x v="846"/>
    <s v="Golden Valley"/>
    <s v="Hennepin"/>
    <s v="MN"/>
    <s v="Baxter Healthcare primarily focuses on medical products to treat kidney disease, and other chronic and acute medical conditions. Golden Valley is in the running for Baxter Healthcare's one of four “R&amp;D Centers of Excellence.&quot; Baxter, a Deerfield, Illinois, is considering the 90,000 sqft of space at 201 General Mills Blvd. for its $40 million project that would create an estimated 100 jobs. Baxter would also relocate another 70 jobs to Golden Valley from an existing facility in Plymouth. _x000a_DEED Awards: MIF $1.37M, JCF $1.84M"/>
    <s v="RD"/>
    <n v="40790000"/>
    <n v="100"/>
    <x v="26"/>
    <n v="90000"/>
    <x v="11"/>
    <x v="1"/>
    <s v="https://www.bizjournals.com/twincities/news/2024/05/07/baxter-health-golden-valley.html"/>
    <s v="Minneapolis-St. Paul Business Journal"/>
    <s v="201 General Mills Blvd"/>
    <n v="55426"/>
    <n v="44.980018999999999"/>
    <n v="-93.391518000000005"/>
    <s v="Government"/>
    <s v="MIF $1.37M, JCF $1.84M"/>
    <n v="3210000"/>
    <m/>
    <m/>
    <m/>
    <m/>
    <m/>
    <s v="Metro"/>
    <x v="6"/>
  </r>
  <r>
    <x v="25"/>
    <d v="2024-05-09T00:00:00"/>
    <x v="847"/>
    <s v="Bloomington"/>
    <s v="Scott"/>
    <s v="MN"/>
    <s v="Engineering and design firm TKDA is moving from St. Paul, to a larger space in Bloomington. The company plans to lease 87,000 square feet in the SoLo 3311 building, and move in the first quarter of 2025. The company currently has about 300 employees and is expecting to hire more.  Buildout expected to start this summer. “With this new office, we think we're going to be much more able to retain our current employees and recruit additional employees to the space.&quot;"/>
    <s v="HQ, OF"/>
    <m/>
    <m/>
    <x v="0"/>
    <n v="27000"/>
    <x v="75"/>
    <x v="4"/>
    <s v="https://www.bizjournals.com/twincities/news/2024/05/09/tkda-headquarters-st-paul-bloomington.html"/>
    <s v="Minneapolis-St. Paul Business Journal"/>
    <s v="3311 E. Old Shakopee Road"/>
    <n v="55379"/>
    <n v="44.798609999999996"/>
    <n v="-93.519440000000003"/>
    <m/>
    <m/>
    <m/>
    <m/>
    <m/>
    <m/>
    <m/>
    <m/>
    <s v="Metro"/>
    <x v="6"/>
  </r>
  <r>
    <x v="25"/>
    <d v="2024-05-15T00:00:00"/>
    <x v="848"/>
    <s v="Lakeville"/>
    <s v="Dakota"/>
    <s v="MN"/>
    <s v="RL Cold, a developer of cold storage facilities across the U.S., recently broke ground on a 292,000-square-foot cold storage facility within the Airlake Industrial Park in Lakeville. The Lakeville build will feature “advanced refrigeration technology including a transcritical Co2 system to provide precision in temperature control, optimal storage conditions for perishable items and energy efficiency.” The project is scheduled for completion in spring 2025."/>
    <s v="WH"/>
    <m/>
    <m/>
    <x v="0"/>
    <n v="292000"/>
    <x v="95"/>
    <x v="21"/>
    <s v="https://finance-commerce.com/2024/05/cold-storage-facility-coming-to-lakeville/"/>
    <s v="Finance &amp; Commerce"/>
    <s v="21535 Cedar Ave"/>
    <n v="55044"/>
    <n v="44.637290999999998"/>
    <n v="-93.218191000000004"/>
    <m/>
    <m/>
    <m/>
    <m/>
    <m/>
    <m/>
    <m/>
    <m/>
    <s v="Metro"/>
    <x v="6"/>
  </r>
  <r>
    <x v="25"/>
    <d v="2024-05-20T00:00:00"/>
    <x v="680"/>
    <s v="Bloomington"/>
    <s v="Hennepin"/>
    <s v="MN"/>
    <s v="Remodel existing office space."/>
    <s v="OF"/>
    <n v="4850000"/>
    <m/>
    <x v="0"/>
    <m/>
    <x v="85"/>
    <x v="1"/>
    <s v="https://www.bloomingtonmn.gov/bldg/permit-status-inspection-results-and-monthly-building-reports"/>
    <s v="City of Bloomington"/>
    <s v="8111 LYNDALE AVE S"/>
    <n v="55420"/>
    <n v="44.857785999999997"/>
    <n v="-93.287079000000006"/>
    <m/>
    <m/>
    <m/>
    <m/>
    <m/>
    <m/>
    <m/>
    <m/>
    <s v="Metro"/>
    <x v="6"/>
  </r>
  <r>
    <x v="25"/>
    <d v="2024-05-30T00:00:00"/>
    <x v="815"/>
    <s v="Bloomington"/>
    <s v="Hennepin"/>
    <s v="MN"/>
    <s v="Renovation of interior office space, restrooms, and associated mechanical and electrical work on the 3rd floor."/>
    <s v="OF"/>
    <n v="3000000"/>
    <m/>
    <x v="0"/>
    <m/>
    <x v="85"/>
    <x v="1"/>
    <s v="https://www.bloomingtonmn.gov/bldg/permit-status-inspection-results-and-monthly-building-reports"/>
    <s v="City of Bloomington"/>
    <s v="9301 JAMES AVE S"/>
    <n v="55431"/>
    <n v="44.835746"/>
    <n v="-93.299826999999993"/>
    <m/>
    <m/>
    <m/>
    <m/>
    <m/>
    <m/>
    <m/>
    <m/>
    <s v="Metro"/>
    <x v="6"/>
  </r>
  <r>
    <x v="25"/>
    <d v="2024-06-05T00:00:00"/>
    <x v="849"/>
    <s v="Shoreview"/>
    <s v="Ramsey"/>
    <s v="MN"/>
    <s v="Automation technology company PaR Systems plans to move its Shoreview headquarters to new facility being built Seven Lakes development project, also in Shoreview. The new building will be 140,000-square-foot, to be completed in Fall 2025, will boost production capacity by 40%. The company currently employs about 300 workers, and hopes to add 26 to 30 new jobs over five years. "/>
    <s v="HQ, MF"/>
    <n v="20000000"/>
    <n v="150"/>
    <x v="0"/>
    <n v="140000"/>
    <x v="85"/>
    <x v="1"/>
    <s v="https://www.bizjournals.com/twincities/news/2024/06/05/shoreview-par-systems.html"/>
    <s v="Minneapolis-St. Paul Business Journal"/>
    <s v="3660 Victoria St"/>
    <n v="55126"/>
    <n v="45.052379000000002"/>
    <n v="-93.130425000000002"/>
    <m/>
    <m/>
    <m/>
    <m/>
    <m/>
    <m/>
    <m/>
    <m/>
    <s v="Metro"/>
    <x v="6"/>
  </r>
  <r>
    <x v="25"/>
    <d v="2024-06-06T00:00:00"/>
    <x v="850"/>
    <s v="Rochester"/>
    <s v="Olmsted"/>
    <s v="MN"/>
    <s v="Nucleus RadioPharma scored an additiona undisclosed investment - which  will help expand its development, supply and commercial manufacturing capabilities. The company is continuing to build its Rochester manufacturing facility which provides 6,500 square feet of laboratory and manufacturing and an additional 3,500 square feet of office space in Two Discovery Square building within Destination Medical Center's Discovery Square District near Mayo Clinic. Nucleus expects to employ up to 28 people within the first two years."/>
    <s v="MF, RD"/>
    <m/>
    <m/>
    <x v="0"/>
    <m/>
    <x v="53"/>
    <x v="1"/>
    <s v="https://www.bizjournals.com/twincities/news/2024/06/06/nucleus-radiopharmaceuticals-extension-round.html"/>
    <s v="Minneapolis-St. Paul Business Journal"/>
    <s v="415 2nd Ave SW"/>
    <n v="55902"/>
    <n v="44.018787000000003"/>
    <n v="-92.466177999999999"/>
    <s v="Government"/>
    <m/>
    <m/>
    <m/>
    <m/>
    <m/>
    <m/>
    <m/>
    <s v="South"/>
    <x v="6"/>
  </r>
  <r>
    <x v="25"/>
    <d v="2024-06-06T00:00:00"/>
    <x v="851"/>
    <s v="Saint Paul"/>
    <s v="Ramsey"/>
    <s v="MN"/>
    <s v="Simpli-Fi Automation Inc. designs and produces a range of  integrated health and environmental monitoring sensors for the health care industry. The company is a Black-owned business. Simpli-Fi is looking to expand in St. Paul to create one of the few commercial carbon nanotube semiconductor nanofabrication facilities in the U.S. The total project cost is $12,286,993 and includes renovations of an existing building, machinery and equipment. The company expects to create 75 jobs. _x000a_DEED Awards: MIF $1M, JCF $268K"/>
    <s v="MF"/>
    <n v="12286993"/>
    <n v="75"/>
    <x v="0"/>
    <m/>
    <x v="96"/>
    <x v="1"/>
    <s v="n/a"/>
    <s v="DEED"/>
    <s v="370 N. Wabasha Street"/>
    <n v="55102"/>
    <n v="44.946106"/>
    <n v="-93.094076999999999"/>
    <s v="Government"/>
    <s v="MIF $1.0M, JCF $268K"/>
    <n v="1268000"/>
    <m/>
    <m/>
    <m/>
    <m/>
    <m/>
    <s v="Metro"/>
    <x v="6"/>
  </r>
  <r>
    <x v="25"/>
    <d v="2024-06-12T00:00:00"/>
    <x v="852"/>
    <s v="Minneapolis"/>
    <s v="Hennepin"/>
    <s v="MN"/>
    <s v="M.A. Mortenson Co. recently received a key permit for Allina Health's 10-story addition to Abbott Northwestern Hospital's campus in Minneapolis._x000a_The construction work is valued at $596 million. The over 600,000-square-foot surgical and critical-care building will have 30 future-flexible operating rooms, four floors of technology-enabled patient rooms and additional space for future growth. Substantial completion of the project is expected by June of 2026."/>
    <s v="HC"/>
    <n v="596000000"/>
    <m/>
    <x v="0"/>
    <n v="600000"/>
    <x v="40"/>
    <x v="0"/>
    <s v="https://www.bizjournals.com/twincities/news/2024/06/12/abbott-northwestern-minneapolis-construction.html"/>
    <s v="Minneapolis-St. Paul Business Journal"/>
    <s v="800 E. 28th St."/>
    <n v="55407"/>
    <n v="44.954582000000002"/>
    <n v="-93.261308999999997"/>
    <m/>
    <m/>
    <m/>
    <m/>
    <m/>
    <m/>
    <m/>
    <m/>
    <s v="Metro"/>
    <x v="6"/>
  </r>
  <r>
    <x v="25"/>
    <d v="2024-06-13T00:00:00"/>
    <x v="853"/>
    <s v="Golden Valley"/>
    <s v="Hennepin"/>
    <s v="MN"/>
    <s v="Shippers Supply Inc, a shipping and packaging distributor, signed a long-term lease for a nearly 124,000-square-foot headquarters at the  Golden Valley Business Center. Shippers will move to the space in October, which will house a showroom for automation equipment and office, warehouse, production and manufacturing space. The move helps the companyexpand and upgrade its space, better attract and retain talent, and stay close to its existing 90,000-square-foot headquarters in Hopkins, MN."/>
    <s v="HQ, MF, OF, WH"/>
    <m/>
    <m/>
    <x v="0"/>
    <n v="124000"/>
    <x v="97"/>
    <x v="10"/>
    <s v="https://www.bizjournals.com/twincities/news/2024/06/13/golden-valley-business-real-estate-industrial.html"/>
    <s v="Minneapolis-St. Paul Business Journal"/>
    <s v="6300 Golden Valley Rd"/>
    <n v="55427"/>
    <n v="44.991892999999997"/>
    <n v="-93.360478999999998"/>
    <m/>
    <m/>
    <m/>
    <m/>
    <m/>
    <m/>
    <m/>
    <m/>
    <s v="Metro"/>
    <x v="6"/>
  </r>
  <r>
    <x v="25"/>
    <d v="2024-06-17T00:00:00"/>
    <x v="815"/>
    <s v="Bloomington"/>
    <s v="Hennepin"/>
    <s v="MN"/>
    <s v="Phase 2 Only - Tenant Remodel on 3rd Floor. City of Bloomington Construction permits"/>
    <s v="OF"/>
    <n v="1450000"/>
    <m/>
    <x v="0"/>
    <m/>
    <x v="85"/>
    <x v="1"/>
    <s v="https://www.bloomingtonmn.gov/bldg/permit-status-inspection-results-and-monthly-building-reports"/>
    <s v="City of Bloomington"/>
    <s v="1500 W 94TH ST"/>
    <n v="55431"/>
    <n v="44.833905999999999"/>
    <n v="-93.301698000000002"/>
    <m/>
    <m/>
    <m/>
    <m/>
    <m/>
    <m/>
    <m/>
    <m/>
    <s v="Metro"/>
    <x v="6"/>
  </r>
  <r>
    <x v="25"/>
    <d v="2024-06-24T00:00:00"/>
    <x v="854"/>
    <s v="New Hope"/>
    <s v="Hennepin"/>
    <s v="MN"/>
    <s v="Little Sombrero Salsa is considering a new production facility in New Hope.  _x000a_The company plans to purchase equipment that would allow it to produce nearly 50 bottles of salsa per minute. The company expects a capital investment of $763,000 to prepare the New Hope facility. The expansion would create 31 to 40 full-time jobs within a two-year period, paying an average of $20 per hour._x000a_DEED Award MIF $185K (8/2024)"/>
    <s v="MF"/>
    <n v="763000"/>
    <n v="40"/>
    <x v="0"/>
    <m/>
    <x v="56"/>
    <x v="1"/>
    <s v="https://ccxmedia.org/news/salsa-company-considers-new-hope-production-facility/"/>
    <s v="CCX Media"/>
    <s v=" 3980 Quebec Ave. N., "/>
    <n v="55427"/>
    <n v="45.028596"/>
    <n v="-93.376079000000004"/>
    <s v="Government"/>
    <s v="MIF"/>
    <n v="185000"/>
    <m/>
    <m/>
    <m/>
    <m/>
    <m/>
    <s v="Metro"/>
    <x v="6"/>
  </r>
  <r>
    <x v="25"/>
    <d v="2024-06-27T00:00:00"/>
    <x v="212"/>
    <s v="St. Cloud"/>
    <s v="Stearns"/>
    <s v="MN"/>
    <s v="CentraCare is moving forward with a plan to expand its 128-acre St. Cloud campus. CentraCare will construct a 215,000-square-foot addition to its existing CentraCare Health Plaza building, an adjacent building and a multifamily residential building with up to 96 units. The addition, which will cost $228.8 million, will provide expanded capacity for ambulatory services. The residential housing includes space for students at the campus' new medical school that will begin in the fall of 2025."/>
    <s v="HC"/>
    <n v="228800000"/>
    <m/>
    <x v="0"/>
    <n v="215109"/>
    <x v="40"/>
    <x v="0"/>
    <s v="https://www.bizjournals.com/twincities/news/2024/06/27/centracare-st-cloud-health-care-real-estate.html"/>
    <s v="Minneapolis-St. Paul Business Journal"/>
    <s v="1900 CentraCare Circle"/>
    <n v="56303"/>
    <n v="45.585492000000002"/>
    <n v="-94.205827999999997"/>
    <m/>
    <m/>
    <m/>
    <m/>
    <m/>
    <m/>
    <m/>
    <m/>
    <s v="Central"/>
    <x v="6"/>
  </r>
  <r>
    <x v="25"/>
    <d v="2024-06-30T00:00:00"/>
    <x v="855"/>
    <s v="Austin"/>
    <s v="Mower"/>
    <s v="MN"/>
    <s v="Apple Valley Foods -- the U.S.-based affiliate of parent Apple Valley Foods based in Canada --  in Chaska, Minn., is a world class food manufacturer of specialty and artisan baked goods. Apple is expanding its production capacity in Austin, Minnesota. The expansion will cost $18 million and is wholly financed through Export Development Canada. The company will add 127 new jobs at the new facility. _x000a_DEED JTIP award for traininng: $200K"/>
    <s v="MF"/>
    <n v="18000000"/>
    <n v="127"/>
    <x v="0"/>
    <m/>
    <x v="56"/>
    <x v="1"/>
    <s v="n/a"/>
    <s v="DEED"/>
    <s v="1118 Main St N"/>
    <n v="55912"/>
    <n v="43.67604"/>
    <n v="-92.974485000000001"/>
    <s v="Government"/>
    <s v="JTIP ($200K)"/>
    <n v="200000"/>
    <m/>
    <s v="Harlan Bakeries (indiana), Apple Valley Foods (Canada)"/>
    <m/>
    <s v="Indiana, Ontario"/>
    <s v="CANADA"/>
    <s v="South"/>
    <x v="6"/>
  </r>
  <r>
    <x v="26"/>
    <d v="2024-07-08T00:00:00"/>
    <x v="11"/>
    <s v="Rogers"/>
    <s v="Hennepin"/>
    <s v="MN"/>
    <s v="Heliene’s expansion could bring 182 jobs to Rogers within two years. Canada-based Heliene, a designer and builder of solar modules, is interested in leasing Graco's former 227,000-square-foot building. The company has an existing facility in Mountain Iron. Heliene would lease the Rogers building. Total investment is expected to be $145M, including $16M in equipment and renovations in the facility. The business hopes to begin build-out of the space in September and be “fully operational by December to January.”"/>
    <s v="MF"/>
    <n v="145000000"/>
    <n v="182"/>
    <x v="0"/>
    <n v="227000"/>
    <x v="7"/>
    <x v="1"/>
    <s v="https://finance-commerce.com/2024/07/solar-manufacturer-considers-vacant-building-in-rogers/"/>
    <s v="Finance &amp; Commerce"/>
    <s v="13225 Brockton Lane "/>
    <n v="55374"/>
    <n v="45.194420999999998"/>
    <n v="-93.528801000000001"/>
    <s v="Government"/>
    <s v="MIF ($2.3M), JCF ($601,350)"/>
    <n v="2901350"/>
    <m/>
    <m/>
    <m/>
    <m/>
    <m/>
    <s v="Metro"/>
    <x v="6"/>
  </r>
  <r>
    <x v="26"/>
    <d v="2024-07-08T00:00:00"/>
    <x v="856"/>
    <s v="Dayton"/>
    <s v="Hennepin"/>
    <s v="MN"/>
    <s v="The Opus Group has started construction on a new industrial facility in Dayton and has already secured a new tenant. The new 132,200-square-foot distribution and light manufacturing warehouse is called the Dayton Parkway Business Center. Construction on the new facility is expected to be complete in early 2025. TurbinePROs, which offers maintenance and other services on turbines, generators, pumps and compressors, will be a tenant. The company signed a lease for more than 87,000 square feet."/>
    <s v="MF, WH"/>
    <m/>
    <m/>
    <x v="0"/>
    <n v="87000"/>
    <x v="52"/>
    <x v="5"/>
    <s v="https://www.bizjournals.com/twincities/news/2024/07/08/opus-real-estate-industrial-warehouse-minneapolis.html"/>
    <s v="Minneapolis-St. Paul Business Journal"/>
    <s v="17600 Territorial Road"/>
    <n v="55369"/>
    <n v="45.160597000000003"/>
    <n v="-93.504901000000004"/>
    <m/>
    <m/>
    <m/>
    <m/>
    <m/>
    <m/>
    <m/>
    <m/>
    <s v="Metro"/>
    <x v="6"/>
  </r>
  <r>
    <x v="26"/>
    <d v="2024-07-12T00:00:00"/>
    <x v="857"/>
    <s v="Willmar"/>
    <s v="Kandiyohi"/>
    <s v="MN"/>
    <s v="With a $1 million infusion, Greg Wierschke, who runs Elk River-based Clean Chickens and Co. with his wife, Rebecca. plans on establishing a halal goat meat slaughterhouse in Willmar, Minn. &quot;We've learned there is a need for goat processing, especially halal [in Minnesota].&quot; _x000a__x000a_The U.S. Dept of Ag awarded him a $1,026,730 grant, which covers about 30% of building a halal processing center in Willmar. Construction is planned to begin in the fall."/>
    <s v="MF"/>
    <n v="3500000"/>
    <n v="18"/>
    <x v="0"/>
    <m/>
    <x v="98"/>
    <x v="1"/>
    <s v="https://www.startribune.com/halal-meat-processing-federal-grant-goat-lamb/600380320/?refresh=true"/>
    <s v="Star Tribune"/>
    <s v="500 32nd St. S.W"/>
    <n v="56201"/>
    <n v="45.116802999999997"/>
    <n v="-95.087768999999994"/>
    <m/>
    <m/>
    <m/>
    <m/>
    <m/>
    <m/>
    <m/>
    <m/>
    <s v="Central"/>
    <x v="6"/>
  </r>
  <r>
    <x v="26"/>
    <d v="2024-07-12T00:00:00"/>
    <x v="68"/>
    <s v="Owatonna"/>
    <s v="Steele"/>
    <s v="MN"/>
    <s v="When Daikin Applied started running out of room to grow in its 200,000-square-foot Owatonna manufacturing plant, the solution was hiding in plain sight.  On July 9, Daikin paid nearly $3.7 million in cash for a vacant, 66,432-square-foot building on 7.41 acres right next door, at 2100 Park Drive. The building was vacant since Climate by Design relocated to their new building in Owatonna in last winter. Daikin is a global producer of heating, ventilation, and air conditioning (HVAC) equipment."/>
    <s v="MF"/>
    <n v="3691360"/>
    <m/>
    <x v="0"/>
    <n v="66432"/>
    <x v="4"/>
    <x v="1"/>
    <s v="https://finance-commerce.com/2024/07/just-sold-daikin-applied-expands-in-owatonna/"/>
    <s v="Finance &amp; Commerce"/>
    <s v="2100 Park Drive"/>
    <n v="55060"/>
    <n v="44.091473000000001"/>
    <n v="-93.252606"/>
    <m/>
    <m/>
    <m/>
    <m/>
    <m/>
    <m/>
    <m/>
    <m/>
    <s v="South"/>
    <x v="6"/>
  </r>
  <r>
    <x v="26"/>
    <d v="2024-07-15T00:00:00"/>
    <x v="684"/>
    <s v="Minnetonka"/>
    <s v="Hennepin"/>
    <s v="MN"/>
    <s v="Stratasys is relocating its U.S. headquarters to Minnetonka. The 3D printer manufacturer will lease 164,000-sqft Class A building at 5995 Opus Parkway. &quot;We are going to make some significant investments into that building. We're adding a heavy-duty freight elevator, for example, to the outside of that building so we can get our larger printers onto different floors throughout that space.&quot; _x000a_Stratasys will start moving to the property in January 2025. &quot;We plan to be adding jobs in the campus over the coming years.&quot;"/>
    <s v="HQ, MF"/>
    <m/>
    <m/>
    <x v="0"/>
    <n v="200000"/>
    <x v="85"/>
    <x v="1"/>
    <s v="https://www.startribune.com/stratasys-unitedhealth-headquarter-minnetonka-eden-prairie/600380925/"/>
    <s v="Star Tribune"/>
    <s v=" 5995 Opus Parkway"/>
    <n v="55343"/>
    <n v="44.896436999999999"/>
    <n v="-93.405512999999999"/>
    <m/>
    <m/>
    <m/>
    <m/>
    <m/>
    <m/>
    <m/>
    <m/>
    <s v="Metro"/>
    <x v="6"/>
  </r>
  <r>
    <x v="26"/>
    <d v="2024-07-16T00:00:00"/>
    <x v="274"/>
    <s v="Plymouth"/>
    <s v="Hennepin"/>
    <s v="MN"/>
    <s v="Histosonics, a medical device company developing a device to kill cancerous tissues with sound waves, plans to almost double the size of its headquarters in Plymouth, Minnesota. HistoSonics currently leases 26,855 square feet at 16305 36th Ave. at the West Glen I complex and wants to expand into another 25,989 square feet. The medtech company will use the new space for storage, offices, labs, a warehouse, an education center, expanded production space and new employee amenities. "/>
    <s v="MF, OF, RD, DW"/>
    <m/>
    <m/>
    <x v="0"/>
    <n v="25989"/>
    <x v="11"/>
    <x v="1"/>
    <s v="https://www.bizjournals.com/twincities/news/2024/07/16/histosonics-to-expand-plymouth-facility.html"/>
    <s v="Minneapolis-St. Paul Business Journal"/>
    <s v="16305 36th Ave"/>
    <n v="55446"/>
    <n v="45.020471999999998"/>
    <n v="-93.487740000000002"/>
    <m/>
    <m/>
    <m/>
    <m/>
    <m/>
    <m/>
    <m/>
    <m/>
    <s v="Metro"/>
    <x v="6"/>
  </r>
  <r>
    <x v="26"/>
    <d v="2024-07-16T00:00:00"/>
    <x v="858"/>
    <s v="Maplewood"/>
    <s v="Ramsey"/>
    <s v="MN"/>
    <s v="Hampton Companies LLC proposes constructing a 4,500-square-foot office and warehouse building on the vacant parcel at 2694 Maplewood Drive North. The applicant operates a real estate and construction company in White Bear Lake, and this would be an additional location for the company. Their roofing and siding division would use the proposed building as office space, and a portion would be used for storage. Company plans were approved Aug. 2024."/>
    <s v="OF, DW"/>
    <m/>
    <m/>
    <x v="0"/>
    <n v="4500"/>
    <x v="0"/>
    <x v="22"/>
    <s v="https://www.maplewoodmn.gov/2143/Construction-OfficeWarehouse---2694-Mapl"/>
    <s v="City of Maplewood"/>
    <s v="2694 Maplewood Dr N"/>
    <n v="55109"/>
    <n v="45.022593000000001"/>
    <n v="-93.048727999999997"/>
    <m/>
    <m/>
    <m/>
    <m/>
    <m/>
    <m/>
    <m/>
    <m/>
    <s v="Metro"/>
    <x v="6"/>
  </r>
  <r>
    <x v="26"/>
    <d v="2024-07-19T00:00:00"/>
    <x v="60"/>
    <s v="Baxter"/>
    <s v="Crow Wing"/>
    <s v="MN"/>
    <s v="Amazon plans to build a 49,500-square-foot last-mile distribution facility, with a 150-stall parking lot, on a 20-acre site on Timberwood Drive, off Highway 210 on Baxter’s west side. The plans come with a potential 19,000-squarefoot expansion, bringing the total building size to 68,500 square feet. Construction should begin this fall. The facility is expected to be operational by the end of 2025. "/>
    <s v="DW"/>
    <m/>
    <m/>
    <x v="0"/>
    <n v="49500"/>
    <x v="0"/>
    <x v="8"/>
    <s v="https://bemidjinow.com/amazon-to-build-distribution-center-in-baxter/"/>
    <s v="Bemidji Now"/>
    <m/>
    <n v="56425"/>
    <n v="46.340741999999999"/>
    <n v="-94.320490000000007"/>
    <m/>
    <m/>
    <m/>
    <m/>
    <s v="Amazon"/>
    <s v="Seattle"/>
    <s v="Washington"/>
    <m/>
    <s v="Central"/>
    <x v="6"/>
  </r>
  <r>
    <x v="26"/>
    <d v="2024-07-22T00:00:00"/>
    <x v="859"/>
    <s v="St Louis Park"/>
    <s v="Hennepin"/>
    <s v="MN"/>
    <s v="Holmes Murphy, an insurance brokerage firm, moved more than 100 employees from downtown Minneapolis to a larger office at St. Louis Park’s West End. Holmes took over nearly 35,000 square feet — the entire seventh floor — of 10 West End, moving from Capella Tower, where it had about 24,000 square feet. Holmes Murphy sought the new space to accommodate employee growth and to consolidate its workforce onto one level. After buildout, the new office offers more collaboration spaces, such as a training room. "/>
    <s v="OF"/>
    <m/>
    <m/>
    <x v="0"/>
    <n v="11000"/>
    <x v="36"/>
    <x v="6"/>
    <s v="https://www.bizjournals.com/twincities/news/2024/07/22/insurance-st-louis-park-downtown-minneapolis.html"/>
    <s v="Minneapolis-St. Paul Business Journal"/>
    <s v="1601 Utica Ave. S"/>
    <n v="55436"/>
    <n v="44.904139999999998"/>
    <n v="-93.373157000000006"/>
    <m/>
    <m/>
    <m/>
    <m/>
    <m/>
    <s v="Waukee"/>
    <s v="Iowa"/>
    <m/>
    <s v="Metro"/>
    <x v="6"/>
  </r>
  <r>
    <x v="26"/>
    <d v="2024-07-22T00:00:00"/>
    <x v="860"/>
    <s v="Brooklyn Park"/>
    <s v="Hennepin"/>
    <s v="MN"/>
    <s v="Rotation Engineering and Manufacturing Co. is expanding in Brooklyn Park. The metal stamping and manufacturing company produces mid‐volume and mid‐sized metal stampings and fabrications in a variety of industries. The proposed project includes a 26,800 square‐foot addition to allow for more machinery and equipment, and investing in new equipment. Total project cost is $3.8 million. Expansion is expected to create 22 new jobs. _x000a_DEED AWARD SUMMARY: $295K JCF, $640k MIF"/>
    <s v="MF"/>
    <n v="3794384"/>
    <n v="22"/>
    <x v="0"/>
    <n v="26800"/>
    <x v="27"/>
    <x v="1"/>
    <s v="https://www.brooklynpark.org/wp-content/uploads/2024/07/ccep072224rm.pdf"/>
    <s v="City of Brooklyn Park"/>
    <s v="8800 Xylon Ave N"/>
    <n v="55445"/>
    <n v="45.115329000000003"/>
    <n v="-93.386215000000007"/>
    <s v="Government"/>
    <s v="JCF ($295.7K), MIF ($640K)"/>
    <n v="935719"/>
    <m/>
    <m/>
    <m/>
    <m/>
    <m/>
    <s v="Metro"/>
    <x v="6"/>
  </r>
  <r>
    <x v="26"/>
    <d v="2024-07-24T00:00:00"/>
    <x v="861"/>
    <s v="Hibbing"/>
    <s v="St. Louis"/>
    <s v="MN"/>
    <s v="Advanced Machine Guarding Solutions produces safety steel wire mesh guarding for the automation industry/ The company will move into a new building designed to accommodate its growth.  Hibbing Econ. Dev. Authority (HEDA) is backing construction of a $9 million, 34,000-square-foot manufacturing facility on a city-owned lot in Hibbing and will lease it back to the company. The company expects to move in spring or summer 2025. Will create 12 new jobs by 2025._x000a_Awards: IRRRB $4.5M, MN 21st Century Fund $4.5M, also $1.25M for equipment"/>
    <s v="MF"/>
    <n v="10250000"/>
    <n v="12"/>
    <x v="0"/>
    <n v="35000"/>
    <x v="85"/>
    <x v="1"/>
    <s v="https://www.businessnorth.com/businessnorth_exclusives/advanced-machine-guarding-solutions-expands-into-a-new-hibbing-building/article_0a3a8df4-49c7-11ef-bc05-bb237d5ba13f.html"/>
    <s v="Business North"/>
    <s v="1122 East 13th Street"/>
    <n v="55746"/>
    <n v="47.436072000000003"/>
    <n v="-92.928820000000002"/>
    <s v="Government"/>
    <s v="IRRRB $4.5M, DEED $4.5M, $1.25M DEED/IRRRB/Park Bank"/>
    <n v="10250000"/>
    <m/>
    <m/>
    <m/>
    <m/>
    <m/>
    <s v="North"/>
    <x v="6"/>
  </r>
  <r>
    <x v="26"/>
    <d v="2024-07-24T00:00:00"/>
    <x v="862"/>
    <s v="Holdingford"/>
    <s v="Stearns"/>
    <s v="MN"/>
    <s v="Two Rivers Enterprises  is expanding in Holdingford. Two Rivers Enterprises produces custom stainless steel equipment for food processing and food service industries. Total cost of the project is $1.9 million which covers renovations of an existing building and purchase of machinery and equipment. The company expects to create 6 jobs."/>
    <s v="MF"/>
    <n v="1929601"/>
    <n v="6"/>
    <x v="0"/>
    <m/>
    <x v="4"/>
    <x v="1"/>
    <s v="https://zeta.creativecirclecdn.com/starpub/files/20240723-144802-d9d-2024-07-24_legals.pdf"/>
    <s v="The Star Post (Creative Circle Media Solutions), DEED"/>
    <s v="490 River St W,"/>
    <n v="56340"/>
    <n v="45.731278000000003"/>
    <n v="-94.486642000000003"/>
    <s v="Government"/>
    <s v="JCF ($120K), MIF ($200K)"/>
    <n v="320000"/>
    <m/>
    <m/>
    <m/>
    <m/>
    <m/>
    <s v="Central"/>
    <x v="6"/>
  </r>
  <r>
    <x v="26"/>
    <d v="2024-07-25T00:00:00"/>
    <x v="837"/>
    <s v="Coon Rapids"/>
    <s v="Anoka"/>
    <s v="MN"/>
    <s v="A longtime Coon Rapids business, idc-Automatic, will more than double in size. Idc plans to construct two additions totaling 26,570 square feet to its existing 21,740 square-foot building at 360 Coon Rapids Blvd. The manufacturer  makes high-performance garage doors that are sold in the Twin Cities and surrounding area. The larger of the two additions will add warehouse space, as well as manufacturing space, while the second will comprise five loading docks. Update: Construction permit issued in 2/2025."/>
    <s v="DW, MF"/>
    <n v="3966060"/>
    <m/>
    <x v="0"/>
    <n v="26570"/>
    <x v="0"/>
    <x v="11"/>
    <s v="https://www.hometownsource.com/abc_newspapers/community/coonrapids/expansion-will-more-than-double-size-of-coon-rapids-business/article_e8b703c0-4533-11ef-b88a-67eab4b0bf91.html"/>
    <s v="ABC Newspapers"/>
    <s v="360 Coon Rapids Blvd NW"/>
    <n v="55433"/>
    <n v="45.140289000000003"/>
    <n v="-93.277469999999994"/>
    <m/>
    <m/>
    <m/>
    <m/>
    <m/>
    <m/>
    <m/>
    <m/>
    <s v="Metro"/>
    <x v="6"/>
  </r>
  <r>
    <x v="26"/>
    <d v="2024-07-25T00:00:00"/>
    <x v="863"/>
    <s v="Minneapoiis"/>
    <s v="Hennepin"/>
    <s v="MN"/>
    <s v="Social media marketing agency The Social Lights will move to an 11,000-square-foot, first-floor space in the Steelman Exchange building. A majority of the company's 65 employees are based in the metro. The move was prompted by The Social Lights’ lease being up in the Nordic Tower  and growth in the company. The lease begins Jan. 1, 2025. "/>
    <s v="OF"/>
    <m/>
    <m/>
    <x v="0"/>
    <n v="11000"/>
    <x v="87"/>
    <x v="4"/>
    <s v="https://www.bizjournals.com/twincities/news/2024/07/25/jpmorgan-chase-marketing-north-loop-minneapolis.html"/>
    <s v="Minneapolis-Saint Paul Business Journal"/>
    <s v="241 N. Fifth Ave."/>
    <n v="55401"/>
    <n v="44.998455999999997"/>
    <n v="-93.285640999999998"/>
    <m/>
    <m/>
    <m/>
    <m/>
    <m/>
    <m/>
    <m/>
    <m/>
    <s v="Metro"/>
    <x v="6"/>
  </r>
  <r>
    <x v="26"/>
    <d v="2024-08-04T00:00:00"/>
    <x v="864"/>
    <s v="St Cloud"/>
    <s v="Sherburne"/>
    <s v="MN"/>
    <s v="Monumental Sales, a division of St. Cloud Industrial Products, produces  granite memorial manufacturing. the parent company plans to acquire an existing 10,000-square-foot building, construct a 25,000-square-foot addition, make improvements to the existing building and build a 2,500- square-foot storage building. The project will retain 63 existing jobs and create up to 11 new full-time jobs. Total project cost is $9.5 million._x000a_DEED AWARD: $175k JCF_x000a_Nov. 2024: Broke ground_x000a_March 2025: City of St Cloud building permit issued with valuation of $8.4 million."/>
    <s v="MF"/>
    <n v="9510000"/>
    <n v="11"/>
    <x v="27"/>
    <n v="27500"/>
    <x v="99"/>
    <x v="1"/>
    <s v="https://www.stcloudlive.com/business/expansion-planned-in-st-cloud-airport-business-park"/>
    <s v="St Cloud Live"/>
    <m/>
    <n v="56304"/>
    <n v="45.530414999999998"/>
    <n v="-94.057184000000007"/>
    <s v="Government"/>
    <s v="MIF"/>
    <n v="175000"/>
    <m/>
    <m/>
    <m/>
    <m/>
    <m/>
    <s v="Central"/>
    <x v="6"/>
  </r>
  <r>
    <x v="26"/>
    <d v="2024-08-06T00:00:00"/>
    <x v="865"/>
    <s v="Bloomington"/>
    <s v="Hennepin"/>
    <s v="MN"/>
    <s v="Engineering, construction and architecture firm Burns &amp; McDonnell will move to a new, larger 67,000-square-foot office space near Normandale Lake in Bloomington. The Kansas City, Missouri-based, employee-owned company signed a lease and expects to move in 2025. The space will be customized to spur collaboration. Burns &amp; McDonnell has over 230 employee/owners at the current Bloomington location and expects about 275 staff in the new office. Construction permit value: $3.6 million"/>
    <s v="OF"/>
    <n v="3621764"/>
    <n v="45"/>
    <x v="0"/>
    <n v="22000"/>
    <x v="75"/>
    <x v="4"/>
    <s v="https://www.bizjournals.com/twincities/news/2024/08/06/bloomington-office-engineering-construction-space.html"/>
    <s v="Minneapolis-St. Paul Business Journal"/>
    <s v="5600 W. American Blvd"/>
    <n v="55437"/>
    <n v="44.857162000000002"/>
    <n v="-93.352101000000005"/>
    <m/>
    <m/>
    <m/>
    <m/>
    <m/>
    <m/>
    <m/>
    <m/>
    <s v="Metro"/>
    <x v="6"/>
  </r>
  <r>
    <x v="26"/>
    <d v="2024-08-06T00:00:00"/>
    <x v="866"/>
    <s v="Minneapolis"/>
    <s v="Hennepin"/>
    <s v="MN"/>
    <s v="ESG Architecture &amp; Design’s new headquarters is in North Loop Green. The buildout of the company’s new 24,000-square-foot space on the fourth floor, which began in late 2023, was completed this summer. The company moved from the Depot Office Center in the Mill District."/>
    <s v="HQ, OF"/>
    <m/>
    <m/>
    <x v="0"/>
    <m/>
    <x v="76"/>
    <x v="4"/>
    <s v="https://www.bizjournals.com/twincities/news/2024/08/06/minneapolis-north-loop-architecture-office-twins.html"/>
    <s v="Minneapolis-St. Paul Business Journal"/>
    <s v="350 N 5th St Suite 400"/>
    <n v="55401"/>
    <n v="44.992595999999999"/>
    <n v="-93.256052999999994"/>
    <m/>
    <m/>
    <m/>
    <m/>
    <m/>
    <m/>
    <m/>
    <m/>
    <s v="Metro"/>
    <x v="6"/>
  </r>
  <r>
    <x v="26"/>
    <d v="2024-08-15T00:00:00"/>
    <x v="867"/>
    <s v="Plymouth"/>
    <s v="Hennepin"/>
    <s v="MN"/>
    <s v="Medical 21, the latest medical device venture from Manny Villafaña, recently raised $2.5 million as it pursues a new type of artificial artery for bypass surgery. Villafaña is one of the Twin Cities' most successful med-tech entrepreneurs. the next step for Medical 21 is raising $10 million for human clinical trials.  Earlier this year, the company moved to a 7,500-square-foot manufacturing facility in Plymouth. The custom built space has areas for research and testing, warehousing and offices."/>
    <s v="MF, RD"/>
    <m/>
    <m/>
    <x v="0"/>
    <m/>
    <x v="11"/>
    <x v="1"/>
    <s v="https://www.bizjournals.com/twincities/inno/stories/news/2024/08/15/medical-21-raises-25-million.html"/>
    <s v="Minneapolis-St. Paul Business Journal"/>
    <s v="3700 Annapolis Lane"/>
    <n v="55447"/>
    <n v="45.022961000000002"/>
    <n v="-93.455568"/>
    <m/>
    <m/>
    <m/>
    <m/>
    <m/>
    <m/>
    <m/>
    <m/>
    <s v="Metro"/>
    <x v="6"/>
  </r>
  <r>
    <x v="26"/>
    <d v="2024-08-15T00:00:00"/>
    <x v="60"/>
    <s v="Woodbury"/>
    <s v="Washington"/>
    <s v="MN"/>
    <s v="Two years after opening a 520,000-square-foot sortation center in Woodbury, Amazon is planning to build a second warehouse facility in the east-metro suburb. The new center is commonly referred to as a “last-mile facility.” Amazon plans to build a 225,000-square-foot distribution center which will open in the fall of 2025 and is expected to employ 180 people. "/>
    <s v="DW"/>
    <m/>
    <n v="180"/>
    <x v="0"/>
    <n v="225000"/>
    <x v="0"/>
    <x v="8"/>
    <s v="https://www.twincities.com/2024/08/15/amazon-to-build-second-warehouse-in-woodbury/"/>
    <s v="Pioneer Press"/>
    <s v="Hudson Road and Settlers Ridge Parkway."/>
    <n v="55129"/>
    <n v="44.945186999999997"/>
    <n v="-92.883088000000001"/>
    <m/>
    <m/>
    <m/>
    <m/>
    <m/>
    <m/>
    <m/>
    <m/>
    <s v="Metro"/>
    <x v="6"/>
  </r>
  <r>
    <x v="26"/>
    <d v="2024-08-15T00:00:00"/>
    <x v="868"/>
    <s v="Stewartville"/>
    <s v="Olmsted"/>
    <s v="MN"/>
    <s v="United Therapeutics Corp. will invest about $100 million into a specialized research farm in Stewartville’s Schumann Business Park, located about 10 miles south of Rochester. The facility will be the second of its kind for United Therapeutics, the biotech company that first engineered organs for the first-ever pig-to-human heart and kidney transplants. The 70,000-square-foot facility will model its current facility in Virginia’s Blue Ridge Mountains. The first pigs are expected to arrive once construction is completed in 2027. DEED BDPI $1.055 million to support construction of business park"/>
    <s v="RD"/>
    <n v="100000000"/>
    <n v="22"/>
    <x v="0"/>
    <n v="70000"/>
    <x v="100"/>
    <x v="4"/>
    <s v="https://www.startribune.com/united-therapeutics-to-build-100m-pig-to-human-organ-research-center-in-southeast-minnesota/601111066"/>
    <s v="Minnesota Star Tribune"/>
    <s v="US Highway 63 and Schumann Drive"/>
    <n v="55976"/>
    <n v="43.884346000000001"/>
    <n v="-92.503743999999998"/>
    <s v="Government"/>
    <s v="BDPI"/>
    <n v="1055000"/>
    <m/>
    <m/>
    <m/>
    <m/>
    <m/>
    <s v="South"/>
    <x v="6"/>
  </r>
  <r>
    <x v="26"/>
    <d v="2024-08-17T00:00:00"/>
    <x v="869"/>
    <s v="Rochester"/>
    <s v="Olmsted"/>
    <s v="MN"/>
    <s v="Foster Electric has outgrown its current Rochester office and recently paid $1.2 million to buy a larger base of operations in northeast Rochester. Foster, a longtime full-service electrical contractor, has more than tripled in size since 2016 and now has 70 electricians working in the field and an office staff of six. After some remodeling, they hope to move to their new 13,000 space by January 2025."/>
    <s v="HQ, OF"/>
    <m/>
    <m/>
    <x v="0"/>
    <m/>
    <x v="0"/>
    <x v="11"/>
    <s v="https://infoweb.newsbank.com/apps/news/document-view?p=NewsBank&amp;docref=news/19B0423500658830&amp;f=basic"/>
    <s v="News Bank"/>
    <s v="3201 East River Road NE "/>
    <n v="55906"/>
    <n v="44.057111999999996"/>
    <n v="-92.460331999999994"/>
    <m/>
    <m/>
    <m/>
    <m/>
    <m/>
    <m/>
    <m/>
    <m/>
    <s v="South"/>
    <x v="6"/>
  </r>
  <r>
    <x v="26"/>
    <d v="2024-08-19T00:00:00"/>
    <x v="870"/>
    <s v="Brooklyn Park"/>
    <s v="Hennepin"/>
    <s v="MN"/>
    <s v="A Minnesota-based distributor of windows and doors for Pella Corp. has consolidated into an 85,000-square-foot space in Brooklyn Park. Pella Northland, an independently owned company that distributes Pella products in the midwest, uses 65,000 square feet of the space for distribution and 20,000 square feet for office and showroom space. The move consolidates the firm's two former office and warehouse locations in Plymouth and New Hope."/>
    <s v="DW, OF"/>
    <m/>
    <m/>
    <x v="0"/>
    <n v="25000"/>
    <x v="0"/>
    <x v="10"/>
    <s v="https://www.bizjournals.com/twincities/news/2024/08/19/pella-windows-brooklyn-park-real-estate-industrial.html"/>
    <s v="Minneapolis-St. Paul Business Journal"/>
    <s v="9100 N. Wyoming Ave.,"/>
    <n v="55445"/>
    <n v="45.120871000000001"/>
    <n v="-93.379322999999999"/>
    <m/>
    <m/>
    <m/>
    <m/>
    <m/>
    <m/>
    <m/>
    <m/>
    <s v="Metro"/>
    <x v="6"/>
  </r>
  <r>
    <x v="26"/>
    <d v="2024-08-26T00:00:00"/>
    <x v="871"/>
    <s v="Princeton"/>
    <s v="Mille Lacs"/>
    <s v="MN"/>
    <s v="Crystal Cabinet Works is a family-owned business that manufactures custom cabinets in central Minnesota.  Company now has 524 employees in Minnesota. They plan to expand production capacity by 30% by constructing a 32,500 square foot warehouse addition to the north end of their current building over the next 3-5 years. This will add 50 to 60 new jobs. In addition, they will invest in an automated paint line and robotic system, and specialized training. _x000a_DEED Award: JTIP grant $176K"/>
    <s v="DW"/>
    <m/>
    <m/>
    <x v="12"/>
    <n v="33000"/>
    <x v="24"/>
    <x v="1"/>
    <s v="https://onboardprodpublic.blob.core.windows.net/uwhf7lry58zyzh8z1fetazkn3kwyhexsuhtk0isfke0a/XUpfe5XYfJrG3GIu9mY8JRoqqqLpg0fXTBQIgZL2SY0A/Crystal%20Cabinets%20Site%20Plan%20Review%20-%20Addition%20To%20Building.pdf"/>
    <s v="City of Princeton, DEED"/>
    <s v="1100 Crystal Drive"/>
    <n v="55371"/>
    <n v="45.552629000000003"/>
    <n v="-93.590761000000001"/>
    <m/>
    <m/>
    <m/>
    <m/>
    <m/>
    <m/>
    <m/>
    <m/>
    <s v="Central"/>
    <x v="6"/>
  </r>
  <r>
    <x v="26"/>
    <d v="2024-08-27T00:00:00"/>
    <x v="872"/>
    <s v="Eagan"/>
    <s v="Dakota"/>
    <s v="MN"/>
    <s v="An affiliate of Hunt Electric purchased a nearly 300,000-square-foot flex property in Eagan for $44 million. The property at 1000 Blue Gentian Road will become Hunt's new headquarters and provides the company more space, income from other tenants in the building, and potential space to expand into in the future."/>
    <s v="HQ"/>
    <m/>
    <m/>
    <x v="0"/>
    <m/>
    <x v="0"/>
    <x v="17"/>
    <s v="https://www.bizjournals.com/twincities/news/2024/08/27/spectrum-commerce-hunt-electric.html"/>
    <s v="Minneapolis-St. Paul Business Journal"/>
    <s v="1000 Blue Gentian Road"/>
    <n v="55121"/>
    <n v="44.83193"/>
    <n v="-93.195459999999997"/>
    <m/>
    <m/>
    <m/>
    <m/>
    <m/>
    <m/>
    <m/>
    <m/>
    <s v="Metro"/>
    <x v="6"/>
  </r>
  <r>
    <x v="26"/>
    <d v="2024-09-04T00:00:00"/>
    <x v="873"/>
    <s v="Rogers"/>
    <s v="Hennepin"/>
    <s v="MN"/>
    <s v="New Jersey-based GDB International is taking over the troubled $30 million Myplas plastic recycling plant that opened to great fanfare in Rogers in 2023 and abruptly shuttered not long after. The company’s subsidiary, GDB Circular, will run the plant. The new owner did not share a planned re-opening date. The company said it has made “significant new investments” to the plant&quot; and brought in “an experienced management team.”"/>
    <s v="MF"/>
    <m/>
    <m/>
    <x v="0"/>
    <m/>
    <x v="57"/>
    <x v="1"/>
    <s v="https://www.wastedive.com/news/myplas-reopening-new-leadership-gdb-international/726060/"/>
    <s v="Waste Dive"/>
    <s v="19850 S. Diamond Lake Rd"/>
    <n v="55374"/>
    <n v="45.199407999999998"/>
    <n v="-93.530896999999996"/>
    <m/>
    <m/>
    <m/>
    <m/>
    <m/>
    <m/>
    <m/>
    <m/>
    <s v="Metro"/>
    <x v="6"/>
  </r>
  <r>
    <x v="26"/>
    <d v="2024-09-05T00:00:00"/>
    <x v="874"/>
    <s v="Morton"/>
    <s v="Redwood"/>
    <s v="MN"/>
    <s v="The Lower Sioux Community opened a $2.3 million facility to process industrial hemp in Morton on Thursday. The 10,000-square-foot facility will process hemp grown by farmers on the reservation and turn the woody stalks into &quot;hempcrete&quot; — the natural, sustainable home insulation material. The hemp campus facility was made possible in part by a $1.5 million grant from the Targeted Community Capital program of DEED. Proposed phase two of the project would add 10,000 more square feet to the facility."/>
    <s v="MF"/>
    <n v="2300000"/>
    <m/>
    <x v="0"/>
    <n v="10000"/>
    <x v="0"/>
    <x v="14"/>
    <s v="https://www.startribune.com/hemp-to-build-homes-lower-sioux-opens-hempcrete-processing-facility/601139017"/>
    <s v="Minnesota Star Tribune"/>
    <s v="39527 Reservation Hwy 1"/>
    <n v="56270"/>
    <n v="44.533307999999998"/>
    <n v="-94.996797999999998"/>
    <s v="Government"/>
    <s v="DEED Targeted Community Capital "/>
    <n v="1500000"/>
    <m/>
    <m/>
    <m/>
    <m/>
    <m/>
    <s v="South"/>
    <x v="6"/>
  </r>
  <r>
    <x v="26"/>
    <d v="2024-09-08T00:00:00"/>
    <x v="875"/>
    <s v="Grand Rapids"/>
    <s v="Itasca"/>
    <s v="MN"/>
    <s v="Mesabi Metallics Company LLC announces an ambitious expansion of its recruitment efforts this fall, as the company eyes completion of its state-of-the-art, 7-million metric ton per year taconite mining and Direct Reduction grade pellet plant, which is on track to start commercial operations in the first quarter of 2026. As of this summer, Mesabi Metallics has just over 30 employees. By the end of 2024, Mesabi's goal is to have 75 to 100 employees. "/>
    <m/>
    <m/>
    <n v="70"/>
    <x v="0"/>
    <m/>
    <x v="0"/>
    <x v="23"/>
    <s v="https://infoweb.newsbank.com/apps/news/document-view?p=NewsBank&amp;docref=news/19B781AC970D7D40&amp;f=basic"/>
    <s v="Grand Rapids Herald Review (News Bank)"/>
    <m/>
    <n v="55744"/>
    <n v="47.234577000000002"/>
    <n v="-93.507034000000004"/>
    <m/>
    <m/>
    <m/>
    <m/>
    <m/>
    <m/>
    <m/>
    <m/>
    <s v="North"/>
    <x v="6"/>
  </r>
  <r>
    <x v="26"/>
    <d v="2024-09-08T00:00:00"/>
    <x v="570"/>
    <s v="Sartell"/>
    <s v="Stearns"/>
    <s v="MN"/>
    <s v="Northeast Minneapolis-based magnet maker Niron Magnetics is expanding into central Minnesota. The City of Sartell reached a purchase agreement with the company for 79 acres of public land where Niron plans to build a 190,000-square foot manufacturing facility that’s expected to employ at least 175 people. Niron evaluated over 75 sites before landing in Sartell. _x000a_2025 Update on govt assistance: $52M in federal tax credits (IRA), $2M BDPI to City of Sartell for road infrastructure, $10M MN Forward Fund"/>
    <s v="MF"/>
    <n v="169700000"/>
    <n v="175"/>
    <x v="0"/>
    <n v="190000"/>
    <x v="100"/>
    <x v="4"/>
    <s v="https://tcbmag.com/niron-magnetics-to-build-new-manufacturing-plant-in-sartell/"/>
    <s v="Twin Cities Business"/>
    <m/>
    <n v="56377"/>
    <n v="45.621630000000003"/>
    <n v="-94.206940000000003"/>
    <s v="Government"/>
    <s v="Fed Tax Credit Advanced Energy Project program $52M. BDPI $2M, MFF $10M"/>
    <n v="64000000"/>
    <m/>
    <m/>
    <m/>
    <m/>
    <m/>
    <s v="Central"/>
    <x v="6"/>
  </r>
  <r>
    <x v="26"/>
    <d v="2024-09-09T00:00:00"/>
    <x v="646"/>
    <s v="Bloomington"/>
    <s v="Hennepin"/>
    <s v="MN"/>
    <s v="Employer health care-benefits firm Gravie is expanding its presence in the Twin Cities metro after leasing space for a new operations center in Bloomington. The operations center is set to open later this month. Gravie subleased 14,000 square feet in the 8400 Normandale Tower. _x000a_Gravie helps small- and medium-sized companies provide health insurance for their employees. The operations center will mainly be for Gravie's customer care support team, Gravie Care, and will employ about 50 to 75 people."/>
    <s v="OF"/>
    <m/>
    <n v="75"/>
    <x v="0"/>
    <n v="14000"/>
    <x v="36"/>
    <x v="6"/>
    <s v="https://www.bizjournals.com/twincities/news/2024/09/09/gravie-new-operations-center-bloomington.html"/>
    <s v="Minneapolis-St. Paul Business Journal"/>
    <s v="5600 W 84th St"/>
    <n v="55437"/>
    <n v="44.849760000000003"/>
    <n v="-93.383166000000003"/>
    <m/>
    <m/>
    <m/>
    <m/>
    <m/>
    <m/>
    <m/>
    <m/>
    <s v="Metro"/>
    <x v="6"/>
  </r>
  <r>
    <x v="26"/>
    <d v="2024-09-10T00:00:00"/>
    <x v="876"/>
    <s v="Rosemount"/>
    <s v="Dakota"/>
    <s v="MN"/>
    <s v="Delta Air Lines and Flint Hills Resources plan to build a sustainable fuel blending facility in Rosemount at Flint's Pine Bend refinery. The facility is anticipated to be operational in 2025 and will be the first of its kind in the Midwest. The new facility is expected to produce around 60 million gallons of blended sustainable aviation fuel (SAF). The blended fuel will be delivered to MSP Airport via Flint Hills’ existing pipeline."/>
    <s v="MF"/>
    <m/>
    <m/>
    <x v="0"/>
    <m/>
    <x v="91"/>
    <x v="1"/>
    <s v="https://www.bizjournals.com/twincities/news/2024/09/10/delta-to-invest-in-rosemount-jet-fuel-facility.html"/>
    <s v="Minneapolis-St. Paul Business Journal"/>
    <s v="12555 Clark Rd"/>
    <n v="55068"/>
    <n v="44.764335000000003"/>
    <n v="-93.039353000000006"/>
    <m/>
    <m/>
    <m/>
    <m/>
    <m/>
    <m/>
    <m/>
    <m/>
    <s v="Metro"/>
    <x v="6"/>
  </r>
  <r>
    <x v="26"/>
    <d v="2024-09-10T00:00:00"/>
    <x v="538"/>
    <s v="Minneapolis"/>
    <s v="Hennepin"/>
    <s v="MN"/>
    <s v="Salesforce consulting firm Digital Mass has moved into an expanded North Loop headquarters, a stone’s throw away from its previous space also in Minneapolis. The technology firm relocated to more than 10,000 square feet in the Colonial Warehouse building, Digital Mass moved to facilitate growth for the company, both in revenue and hiring, The company has about 40 employees, and saw revenue growth of 193% over the past three years."/>
    <s v="OF"/>
    <m/>
    <m/>
    <x v="0"/>
    <n v="3000"/>
    <x v="101"/>
    <x v="4"/>
    <s v="https://www.bizjournals.com/twincities/news/2024/09/10/technology-firm-north-loop-minneapolis-office-hq.html"/>
    <s v="Minneapolis-St. Paul Business Journal"/>
    <s v="212 N. Third Ave"/>
    <n v="55401"/>
    <n v="44.985335999999997"/>
    <n v="-93.272327000000004"/>
    <m/>
    <m/>
    <m/>
    <m/>
    <m/>
    <m/>
    <m/>
    <m/>
    <s v="Metro"/>
    <x v="6"/>
  </r>
  <r>
    <x v="26"/>
    <d v="2024-09-10T00:00:00"/>
    <x v="877"/>
    <s v="Luverne"/>
    <s v="Rock"/>
    <s v="MN"/>
    <s v="The Federal Aviation Administration provided a $16.8 million Inflation Reduction Act grant to convert Gevo's existing ethanol and isobutanol fuel facility in Luverne to a fully integrated alcohol-to-jet facility able to produce SAF, marking the first conversion of Minnesota crops to SAF within the state. The facility is owned and operated by Englewood, Colorado-based biofuels company Gevo."/>
    <s v="MF"/>
    <m/>
    <m/>
    <x v="0"/>
    <m/>
    <x v="28"/>
    <x v="1"/>
    <s v="https://www.bizjournals.com/twincities/news/2024/09/10/delta-to-invest-in-rosemount-jet-fuel-facility.html"/>
    <s v="Minneapolis-St. Paul Business Journal"/>
    <m/>
    <n v="56156"/>
    <n v="43.698546"/>
    <n v="-96.163241999999997"/>
    <m/>
    <m/>
    <m/>
    <m/>
    <m/>
    <m/>
    <m/>
    <m/>
    <s v="South"/>
    <x v="6"/>
  </r>
  <r>
    <x v="26"/>
    <d v="2024-09-13T00:00:00"/>
    <x v="878"/>
    <s v="Sauk Rapids"/>
    <s v="Benton"/>
    <s v="MN"/>
    <s v="St. Cloud Window is expanding at their current location in Sauk  Rapids. The company designs and manufactures a complete line of  aluminum and historic replica windows, doors and systems for commercial buildings. Total cost of the project is $3.65 million, includes physical expansion of their building and $1.4 million for purchasing new machinery and equipment. The company expects to create 19 jobs. _x000a_DEED AWARD SUMMARY: MIF $150K, $175K JCF"/>
    <s v="MF"/>
    <n v="3650000"/>
    <n v="19"/>
    <x v="0"/>
    <m/>
    <x v="59"/>
    <x v="1"/>
    <s v="https://zeta.creativecirclecdn.com/starpub/files/20240705-100007-8cf-2024-07-06.pdf"/>
    <s v="Sauk Rapids Herald (Creative Circle Media Solutions) , DEED"/>
    <s v=" 390 Industrial Blvd., "/>
    <n v="56379"/>
    <n v="45.589570000000002"/>
    <n v="-94.140271999999996"/>
    <s v="Government"/>
    <s v="JCF ($175K), MIF ($150K)"/>
    <n v="325000"/>
    <m/>
    <m/>
    <m/>
    <m/>
    <m/>
    <s v="Central"/>
    <x v="6"/>
  </r>
  <r>
    <x v="26"/>
    <d v="2024-09-16T00:00:00"/>
    <x v="879"/>
    <s v="Rochester"/>
    <s v="Olmsted"/>
    <s v="MN"/>
    <s v="Pramana , a Massachusetts-based digital pathology company that works with Mayo Clinic, is building out its new North American distribution and manufacturing center in Rochester. Construction is underway for a 5,000-square-foot space, estimated to cost more than $260,000, on the former campus of IBM. The Rochester center will serve as Pramana's key location for a variety of employee roles, as well as a Center of Excellence for training. Construction is expected to be completed in November."/>
    <s v="DW, MF"/>
    <n v="260000"/>
    <m/>
    <x v="0"/>
    <n v="5000"/>
    <x v="85"/>
    <x v="1"/>
    <s v="https://infoweb.newsbank.com/apps/news/document-view?p=NewsBank&amp;docref=news/19BA2557013A3D50&amp;f=basic"/>
    <s v="Post Bulletin (News Bank)"/>
    <s v="2900 37th St NW,"/>
    <n v="55901"/>
    <n v="44.059460000000001"/>
    <n v="-92.507277999999999"/>
    <m/>
    <m/>
    <m/>
    <m/>
    <m/>
    <m/>
    <m/>
    <m/>
    <s v="South"/>
    <x v="6"/>
  </r>
  <r>
    <x v="26"/>
    <d v="2024-09-20T00:00:00"/>
    <x v="880"/>
    <s v="Shakopee"/>
    <s v="Scott"/>
    <s v="MN"/>
    <s v="In 2025 GN will increase its space by 79% by moving its North American HQ from Bloomington to Shakopee. The move is driven by sales growth. GN has signed a 12-year lease for 218,437 square feet at the building formerly occupied by Shutterfly. GN products include the ReSound hearing aid. Copenhagen-based GN employs about 550 people in Minnesota. Construction is underway to redesign and remodel the Shakopee building to develop a state-of-the-art hearing aid manufacturing, repair and shipping facility, to be completed by the end of 2025."/>
    <s v="HQ, MF"/>
    <m/>
    <m/>
    <x v="0"/>
    <n v="96400"/>
    <x v="11"/>
    <x v="1"/>
    <s v="https://www.startribune.com/gn-resound-hearing-aid-facility-shutterfly-building-shakopee/601148449"/>
    <s v="Minnesota Star Tribune"/>
    <s v="5005 Dean Lakes Blvd"/>
    <n v="55379"/>
    <n v="44.781855999999998"/>
    <n v="-93.456603999999999"/>
    <m/>
    <m/>
    <m/>
    <m/>
    <s v="GN Resound"/>
    <m/>
    <m/>
    <s v="Denmark"/>
    <s v="Metro"/>
    <x v="6"/>
  </r>
  <r>
    <x v="26"/>
    <d v="2024-09-23T00:00:00"/>
    <x v="881"/>
    <s v="Minneapolis"/>
    <s v="Hennepin"/>
    <s v="MN"/>
    <s v="The Northside Economic Opportunity Network (NEON) will break ground next month on a long awaited $21 million commercial kitchen project that will serve as a business incubator by providing badly needed food prep space to hundreds of small area businesses such as food trucks and other food operations. The 24,000-square-foot NEON Collective Kitchens project will feature eight massive kitchens, storage, a food court area, plus classrooms and offices on the second floor, as well as a retail section."/>
    <s v="Other"/>
    <n v="21000000"/>
    <m/>
    <x v="0"/>
    <n v="24000"/>
    <x v="87"/>
    <x v="4"/>
    <s v="https://www.startribune.com/north-minneapolis-projects-commercial-kitchen-neon-mortenson/601150314"/>
    <s v="Minnesota Star Tribune"/>
    <s v="1007 W Broadway"/>
    <n v="55411"/>
    <n v="44.998887000000003"/>
    <n v="-93.293035000000003"/>
    <m/>
    <m/>
    <m/>
    <m/>
    <m/>
    <m/>
    <m/>
    <m/>
    <s v="Metro"/>
    <x v="6"/>
  </r>
  <r>
    <x v="26"/>
    <d v="2024-09-25T00:00:00"/>
    <x v="882"/>
    <s v="Perham"/>
    <s v="Otter Tail"/>
    <s v="MN"/>
    <s v="Lakes Community Cooperative, a small meat-processing facility in Perham which processes multiple species of livestock, earned a federal grant of $533,000 to double its capacity. This will help consumers by lowering their costs thanks to increased competition in a heavily concentrated meat industry. "/>
    <s v="MF"/>
    <m/>
    <m/>
    <x v="0"/>
    <m/>
    <x v="98"/>
    <x v="1"/>
    <s v="https://www.startribune.com/lakes-community-cooperative-cargil-meat-packing-process-federal-grant/601151608"/>
    <s v="Minnesota Star Tribune"/>
    <s v="457 3rd Ave SE #1"/>
    <n v="56573"/>
    <n v="46.589382000000001"/>
    <n v="-95.573538999999997"/>
    <s v="Government"/>
    <s v="Federal"/>
    <n v="533000"/>
    <m/>
    <m/>
    <m/>
    <m/>
    <m/>
    <s v="Central"/>
    <x v="6"/>
  </r>
  <r>
    <x v="26"/>
    <d v="2024-09-27T00:00:00"/>
    <x v="883"/>
    <s v="Eagan"/>
    <s v="Dakota"/>
    <s v="MN"/>
    <s v="Solventum, the massive health care spin-off from Maplewood-based 3M, may move into the former Blue Cross Blue Shield campus in Eagan. Upwards of 1,100 workers would be relocated from Maplewood. The company anticipates 600-800 employees on-site daily.  Solventum produces medical goods such as medical equipment, sterilization devices, wound dressings and medical tapes. Nearly 2000 jobs will be retained in Minnesota. The $209M project includes property acquisition, site upgrades and equipment purchases._x000a_DEED Awards: $11M MIF, $1.78M JCF"/>
    <s v="HQ, MF, OF"/>
    <n v="209000000"/>
    <n v="20"/>
    <x v="28"/>
    <n v="253126"/>
    <x v="11"/>
    <x v="1"/>
    <s v="https://www.twincities.com/2024/09/27/3m-health-care-spin-off-solventum-eyes-former-blue-cross-blue-shield-site-in-eagan-for-future-hub/"/>
    <s v="Pioneer Press"/>
    <s v="1750 Yankee Doodle Road"/>
    <n v="55121"/>
    <n v="44.833874000000002"/>
    <n v="-93.198974000000007"/>
    <s v="Government"/>
    <s v="MIF $11M, JCF $1.78M"/>
    <n v="12780000"/>
    <m/>
    <m/>
    <m/>
    <m/>
    <m/>
    <s v="Metro"/>
    <x v="6"/>
  </r>
  <r>
    <x v="26"/>
    <d v="2024-09-30T00:00:00"/>
    <x v="884"/>
    <s v="Plymouth"/>
    <s v="Hennepin"/>
    <s v="MN"/>
    <s v="Philips Image Guided Therapy Corp., the med-tech division of Philips (headquartered in the Netherlands) will expand of its facility in Plymouth. Philips will invest $31 million, which would also create more than 150 jobs over the next four years. Philips intends to create a Center of Excellence for Medical Technology and Global Customer MedTech Training Center which would include manufacturing, R&amp;D and training space. DEED Awards: MIF $2M, JCF $1.54M"/>
    <s v="MF, RD"/>
    <n v="31000000"/>
    <n v="158"/>
    <x v="29"/>
    <m/>
    <x v="11"/>
    <x v="1"/>
    <s v="https://finance-commerce.com/2024/09/med-tech-company-proposes-31m-investment-in-plymouth/"/>
    <s v="Finance &amp; Commerce"/>
    <s v="5905 Nathan Ln. N."/>
    <n v="55442"/>
    <n v="45.058950000000003"/>
    <n v="-93.411677999999995"/>
    <s v="Government"/>
    <s v="MIF $2M, JCF $1.54M, MJSP $400K"/>
    <n v="3940500"/>
    <s v="x"/>
    <s v="Royal Philips"/>
    <m/>
    <m/>
    <s v="Netherlands"/>
    <s v="Metro"/>
    <x v="6"/>
  </r>
  <r>
    <x v="27"/>
    <d v="2024-10-02T00:00:00"/>
    <x v="885"/>
    <s v="Minneapolis"/>
    <s v="Hennepin"/>
    <s v="MN"/>
    <s v="Mill City Roasters, a maker of coffee roasting equipment and a seller of bulk coffee, will shift some of its production from China to the U.S. as it moves into new headquarters in northeast Minneapolis. The company would move portions of its fabrication facility, located in Shenzhen, China, to Minneapolis. The new headquarters will accommodate Mill City Roaster's operations, support and design teams. The company will relocate from its current Minneapolis location by the end of December."/>
    <s v="HQ, MF, Other"/>
    <m/>
    <m/>
    <x v="0"/>
    <n v="37578"/>
    <x v="56"/>
    <x v="1"/>
    <s v="https://www.bizjournals.com/twincities/news/2024/10/02/mill-city-roasters-expands-to-northeast-facility.html"/>
    <s v="Minneapolis-St. Paul Business Journal"/>
    <s v="401 Harding St NE"/>
    <n v="55413"/>
    <n v="44.993372999999998"/>
    <n v="-93.221104999999994"/>
    <m/>
    <m/>
    <m/>
    <m/>
    <m/>
    <m/>
    <m/>
    <m/>
    <s v="Metro"/>
    <x v="6"/>
  </r>
  <r>
    <x v="27"/>
    <d v="2024-10-15T00:00:00"/>
    <x v="886"/>
    <s v="Brooklyn Park"/>
    <s v="Hennepin"/>
    <s v="MN"/>
    <s v="Machine Solutions Inc., the leading provider of advanced equipment and services for the catheter manufacturing market, has opened a new applications lab and showroom in Brooklyn Park. The new facility provides access to top-of-the-line braiding, coiling, stranding and lamination equipment. Engineers can use Machine Solutions’ Brooklyn Park lab to design and develop catheter components using state-of-the-art equipment from all Machine Solutions brands,"/>
    <s v="RD, Other"/>
    <m/>
    <m/>
    <x v="0"/>
    <m/>
    <x v="11"/>
    <x v="1"/>
    <s v="https://www.expansionsolutionsmagazine.com/machine-solutions-inc-expands-in-minnesota/"/>
    <s v="Expansion Solutions Magazine"/>
    <s v="9350 W. Broadway, #190"/>
    <n v="55445"/>
    <n v="45.125309999999999"/>
    <n v="-93.373755000000003"/>
    <m/>
    <m/>
    <m/>
    <m/>
    <m/>
    <m/>
    <m/>
    <m/>
    <s v="Metro"/>
    <x v="6"/>
  </r>
  <r>
    <x v="27"/>
    <d v="2024-10-22T00:00:00"/>
    <x v="180"/>
    <s v="Maplewood"/>
    <s v="Ramsey"/>
    <s v="MN"/>
    <s v="The captain of industrial powerhouse 3M says the manufacturer is charting the right course after a summer of strong profits.  “We’re spending a lot of time thinking about where we put our precious $1 billion in R&amp;D,” CEO Bill Brown said.... The company is hiring more engineers and putting R&amp;D dollars back into new product development to make good on Brown’s pledge to push more innovation onto shelves. The company is hiring 50 new engineers this fall to make that happen."/>
    <m/>
    <m/>
    <n v="50"/>
    <x v="0"/>
    <m/>
    <x v="11"/>
    <x v="1"/>
    <s v="https://www.startribune.com/3m-q3-2024-earnings-beat-forecast-raised-maplewood-ceo-bill-brown/601166062"/>
    <s v="Minnesota Star Tribune"/>
    <s v="2350 Minnehaha Ave E"/>
    <n v="55119"/>
    <n v="44.961779999999997"/>
    <n v="-93.000037000000006"/>
    <m/>
    <m/>
    <m/>
    <m/>
    <m/>
    <m/>
    <m/>
    <m/>
    <s v="Metro"/>
    <x v="6"/>
  </r>
  <r>
    <x v="27"/>
    <d v="2024-10-29T00:00:00"/>
    <x v="887"/>
    <s v="Dayton"/>
    <s v="Hennepin"/>
    <s v="MN"/>
    <s v="States Manufacturing, a custom electrical and metal manufacturer, plans to take over 500,000 square feet of industrial space in a newly built development in Dayton, MN. The company plans to occupy half of the 1 million-sqft industrial building known as The Cubes at French Lake.  The $23 investments in build out and equipment expenses are expected to bring 340 new jobs to the city of Dayton by 2027.  _x000a_DEED Awards: MIF $1.96M JCF $840K"/>
    <s v="MF"/>
    <n v="23915000"/>
    <n v="340"/>
    <x v="0"/>
    <n v="503440"/>
    <x v="7"/>
    <x v="1"/>
    <s v="https://www.bizjournals.com/twincities/news/2024/10/29/states-manufacturing-million-dayton.html"/>
    <s v="Minneapolis-St. Paul Business Journal"/>
    <s v="11500 Lawndale Lane"/>
    <n v="55369"/>
    <n v="45.164057999999997"/>
    <n v="-93.504239999999996"/>
    <s v="Government"/>
    <s v="MIF ($1.96M), JCF ($840K)"/>
    <n v="2800000"/>
    <m/>
    <m/>
    <m/>
    <m/>
    <m/>
    <s v="Metro"/>
    <x v="6"/>
  </r>
  <r>
    <x v="27"/>
    <d v="2024-10-30T00:00:00"/>
    <x v="888"/>
    <s v="Glencoe"/>
    <s v="McLeod"/>
    <s v="MN"/>
    <s v="Revolve Labs, the Colorado-based company that operates the crypto-mining operation in Glencoe, plans to build a new site farther away from homes, with the possibility of removing the noisy machines that have led to numerous complaints. The move would be part of a “potential site design and operation change” that could include a $40 million to $60 million expansion of the company’s facilities and would employ 10 people,. The new facility will bring in jobs and additional revenue to Glencoe."/>
    <s v="DC"/>
    <n v="60000000"/>
    <n v="10"/>
    <x v="0"/>
    <m/>
    <x v="102"/>
    <x v="9"/>
    <s v="https://www.startribune.com/company-with-glencoe-crypto-mining-operation-has-plans-to-move-away-from-residents-transition-to-ai/601172123"/>
    <s v="Minnesota Star Tribune"/>
    <s v="101 8th St W"/>
    <n v="55336"/>
    <n v="44.767195999999998"/>
    <n v="-94.160852000000006"/>
    <m/>
    <m/>
    <m/>
    <m/>
    <m/>
    <m/>
    <m/>
    <m/>
    <s v="Central"/>
    <x v="6"/>
  </r>
  <r>
    <x v="27"/>
    <d v="2024-10-30T00:00:00"/>
    <x v="889"/>
    <s v="Minneapolis"/>
    <s v="Hennepin"/>
    <s v="MN"/>
    <s v="Gamer Packaging, a packaging distributor for the beverage, food and pharmaceutical industries will move its headquarters in the second half of 2026. The packaging group is making a move to Fifth Street Towers in Minneapolis and will occupy a 20,192-square-foot office. The office is currently being designed to become Gamer’s headquarters."/>
    <s v="HQ"/>
    <m/>
    <m/>
    <x v="0"/>
    <n v="20192"/>
    <x v="103"/>
    <x v="15"/>
    <s v="https://finance-commerce.com/2024/10/gamer-packaging-signs-at-fifth-street-towers/"/>
    <s v="Finance &amp; Commerce"/>
    <s v="100 S. Fifth St"/>
    <n v="55402"/>
    <n v="44.978349999999999"/>
    <n v="-93.268628000000007"/>
    <m/>
    <m/>
    <m/>
    <m/>
    <m/>
    <m/>
    <m/>
    <m/>
    <s v="Metro"/>
    <x v="6"/>
  </r>
  <r>
    <x v="27"/>
    <d v="2024-10-31T00:00:00"/>
    <x v="890"/>
    <s v="Brooklyn Park"/>
    <s v="Hennepin"/>
    <s v="MN"/>
    <s v="Design Ready Controls (DRC) builds electrical control panels used in many applications and industries. The company recently expanded into building and maintenance of EV charging components. To be successful with this new line, DRC needs to hire new workers and upgrade production skills of 43 workers (incl. 10 new). DRC is partnering with Riverland Community College to develop four training modules requiring 48-58 hours of training.  Traininng program runs Oct 2024-Oct 2026._x000a_MJSP Grant of $110K "/>
    <m/>
    <m/>
    <n v="10"/>
    <x v="0"/>
    <m/>
    <x v="7"/>
    <x v="1"/>
    <s v="n/a"/>
    <s v="DEED"/>
    <s v="9325 Winnetka Ave N"/>
    <n v="55445"/>
    <n v="45.124512000000003"/>
    <n v="-93.385842999999994"/>
    <m/>
    <s v="MJSP"/>
    <n v="110411"/>
    <m/>
    <m/>
    <m/>
    <m/>
    <m/>
    <s v="Metro"/>
    <x v="6"/>
  </r>
  <r>
    <x v="27"/>
    <d v="2024-11-04T00:00:00"/>
    <x v="891"/>
    <s v="Moorhead"/>
    <s v="Clay"/>
    <s v="MN"/>
    <s v="DG Fuels, a Washington D.C.-based energy company, announced it’s putting a $5 billion sustainable aviation fuel (SAF) plant and bringing 650 jobs to Moorhead._x000a__x000a_The facility, which expects to start production in 2030, will convert agriculture and timber waste into jet fuel, and will produce 193 million gallons of SAF per year. The plant will take four years to construct and is expected the investment will produce $50 billion in economic activity for the state over the next three decades."/>
    <s v="MF"/>
    <n v="5000000000"/>
    <n v="650"/>
    <x v="0"/>
    <m/>
    <x v="91"/>
    <x v="1"/>
    <s v="https://www.startribune.com/moorhead-lands-5b-sustainable-jet-fuel-plant-and-its-650-jobs/601174503"/>
    <s v="Minnesota Star Tribune"/>
    <m/>
    <n v="56560"/>
    <n v="46.842027999999999"/>
    <n v="-96.735562999999999"/>
    <m/>
    <m/>
    <m/>
    <m/>
    <m/>
    <m/>
    <m/>
    <m/>
    <s v="Central"/>
    <x v="6"/>
  </r>
  <r>
    <x v="27"/>
    <d v="2024-11-04T00:00:00"/>
    <x v="892"/>
    <s v="Albert Lea"/>
    <s v="Freeborn"/>
    <s v="MN"/>
    <s v="The Albert Lea City Council approved a development agreement with Green Acres Milling of Latimer, Iowa in Nov 2024. The city will provide TIF of $741,600. The oat-milling company is building a $55 million processing facility in the Jobs Industrial Park that will create 12 jobs with an average annual wage of $100,000 including benefits. The company broke ground in April 2025. Completion is expected in Fall 2026. The new 135,000-square-foot facility will process 2 million bushels of oats per year."/>
    <s v="MF"/>
    <n v="55000000"/>
    <n v="12"/>
    <x v="0"/>
    <n v="135000"/>
    <x v="56"/>
    <x v="1"/>
    <s v="https://www.cityofalbertlea.org/welcome-to-green-acres-milling/"/>
    <s v="City of Albert Lea"/>
    <s v="306 E 14th St"/>
    <n v="56007"/>
    <n v="43.623578000000002"/>
    <n v="-93.353842999999998"/>
    <s v="Government"/>
    <s v="TIF ($741,600), USDA ($1.5M)"/>
    <n v="2241600"/>
    <m/>
    <s v="Green Acres Milling"/>
    <s v=" Latimer,"/>
    <s v="Iowa"/>
    <m/>
    <s v="South"/>
    <x v="6"/>
  </r>
  <r>
    <x v="27"/>
    <d v="2024-11-12T00:00:00"/>
    <x v="893"/>
    <s v="Elk River"/>
    <s v="Sherburne"/>
    <s v="MN"/>
    <s v="Construction on the new Heritage Millwork headquarters started in August, and the buildout is expected to be completed early in 2025. The headquarter in Elk River will consolidate the three other properties (including two in Anoka) that Heritage uses for its production facilities into one location. Heritage will start moving in equipment in late December. The project will cost $13 million.  The project will retain, relocate or create 85 jobs in Elk River’s city limits."/>
    <s v="HQ, MF, DW"/>
    <n v="13000000"/>
    <m/>
    <x v="30"/>
    <m/>
    <x v="104"/>
    <x v="1"/>
    <s v="https://finance-commerce.com/2024/11/new-heritage-millwork-hq-in-elk-river-nears-finish/"/>
    <s v="Finance &amp; Commerce"/>
    <s v="16767 Gateway Rd NW"/>
    <n v="55330"/>
    <n v="45.276859999999999"/>
    <n v="-93.537008"/>
    <m/>
    <m/>
    <m/>
    <m/>
    <m/>
    <m/>
    <m/>
    <m/>
    <s v="Central"/>
    <x v="6"/>
  </r>
  <r>
    <x v="27"/>
    <d v="2024-11-12T00:00:00"/>
    <x v="894"/>
    <s v="Saint Cloud"/>
    <s v="Stearns"/>
    <s v="MN"/>
    <s v="Commercial Building permit for 3405 ENERGY DR, ST CLOUD, MN 56304 which is the Geringhoff Distribution facility (per Google). Description: Build 40,500 sg. ft. single story addition to the existing building. Construction to be precast walls with structural steel. Interior renovation of the existing includes larger warehouse area, parts office and new restrooms. (St Cloud Building Permit Report, November 2024)"/>
    <s v="DW"/>
    <n v="3928414"/>
    <m/>
    <x v="0"/>
    <n v="40500"/>
    <x v="4"/>
    <x v="1"/>
    <s v="https://www.ci.stcloud.mn.us/DocumentCenter/View/28473/November-2024"/>
    <s v="City of St Cloud Building Permit Reports"/>
    <s v="3405 Energy Dr"/>
    <n v="56304"/>
    <n v="45.573117000000003"/>
    <n v="-94.091740999999999"/>
    <m/>
    <m/>
    <m/>
    <m/>
    <m/>
    <m/>
    <m/>
    <m/>
    <s v="Central"/>
    <x v="6"/>
  </r>
  <r>
    <x v="27"/>
    <d v="2024-11-13T00:00:00"/>
    <x v="450"/>
    <s v="Willmar"/>
    <s v="Kandiyohi"/>
    <s v="MN"/>
    <s v="Jennie-O Turkey, a subsidiary of Hormel Foods Corp., recently broke ground on a $30 million expansion project that will add 20,000 square feet to its Willmar facility. The expansion modernizes operations while streamlining processes and improving efficiencies. Construction is underway and expected to be complete in late 2025 or early 2026."/>
    <m/>
    <n v="30000000"/>
    <m/>
    <x v="0"/>
    <n v="20000"/>
    <x v="56"/>
    <x v="1"/>
    <s v="https://www.meatpoultry.com/articles/31075-jennie-o-starts-work-on-expansion-to-minnesota-plant"/>
    <s v="Meat = Poultry"/>
    <s v="2505 Willmar Avenue SW"/>
    <n v="56201"/>
    <n v="45.110613000000001"/>
    <n v="-95.077980999999994"/>
    <m/>
    <m/>
    <m/>
    <m/>
    <m/>
    <m/>
    <m/>
    <m/>
    <s v="Central"/>
    <x v="6"/>
  </r>
  <r>
    <x v="27"/>
    <d v="2024-11-15T00:00:00"/>
    <x v="895"/>
    <s v="Eagan"/>
    <s v="Dakota"/>
    <s v="MN"/>
    <s v="Catallia Mexican Foods, a key supplier of tortillas for McDonald's, is expanding its Eagan campus by purchasing a 72,000 sqft warehouse for $6.1 million, and where it's been a tenant for the past few years. The building is just across the street from the company’s existing production campus. Catallia is a BIPOC-owned business. Catallia Mexican Foods has about 250 employees and plans to add more production space and perhaps more freezer space in a year."/>
    <s v="DW"/>
    <n v="6100000"/>
    <m/>
    <x v="0"/>
    <n v="72000"/>
    <x v="56"/>
    <x v="1"/>
    <s v="https://www.bizjournals.com/twincities/news/2024/11/15/catallia-mexican-foods-eagan.html"/>
    <s v="Minneapolis-St. Paul Business Journal"/>
    <s v="2955 Lone Oak Circle"/>
    <n v="55121"/>
    <n v="44.850484999999999"/>
    <n v="-93.141420999999994"/>
    <m/>
    <m/>
    <m/>
    <m/>
    <m/>
    <m/>
    <m/>
    <m/>
    <s v="Metro"/>
    <x v="6"/>
  </r>
  <r>
    <x v="27"/>
    <d v="2024-11-19T00:00:00"/>
    <x v="896"/>
    <s v="Detroit Lakes"/>
    <s v="Becker"/>
    <s v="MN"/>
    <s v="BTD does metal fabrication for about 300 manufacturers and develops special robotic tools used in the production process. Near the original BTD building in the Detroit Lakes industrial park sit three connected steel-frame buildings. One of the buildings has been expanded by about 60%, or 6,600 sqft, and when finished in two months, it will be the expanded home of the BTD automation department. “Our current research and development team is here, and we do the majority of work at this site.” "/>
    <s v="MF"/>
    <m/>
    <m/>
    <x v="0"/>
    <n v="6600"/>
    <x v="4"/>
    <x v="1"/>
    <s v="https://www.inforum.com/news/local/btd-expansion-in-detroit-lakes-focuses-on-research-development-and-automation"/>
    <s v="Inforum"/>
    <s v="1111 13th Ave SE"/>
    <n v="56501"/>
    <n v="46.814799000000001"/>
    <n v="-95.826938999999996"/>
    <m/>
    <m/>
    <m/>
    <m/>
    <m/>
    <m/>
    <m/>
    <m/>
    <s v="Central"/>
    <x v="6"/>
  </r>
  <r>
    <x v="27"/>
    <d v="2024-11-20T00:00:00"/>
    <x v="897"/>
    <s v="Minneapolis"/>
    <s v="Hennepin"/>
    <s v="MN"/>
    <s v="Software firm Kipsu Inc. has signed a new lease next door to its existing headquarters in the Warehouse District of downtown Minneapolis. Kipsu will move into an 38,000-square-foot office space in January. The move is an expansion. About 120 company employees will occupy the entire 7thth floor of Butler Square. Kipsu develops real-time engagement products for customer service industries,  live web chat and other social messaging tools for a range of industries."/>
    <s v="OF"/>
    <m/>
    <m/>
    <x v="0"/>
    <n v="22000"/>
    <x v="25"/>
    <x v="9"/>
    <s v="https://www.bizjournals.com/twincities/news/2024/11/20/software-company-kipsu-warehouse-minneapolis-move.html"/>
    <s v="Minneapolis-St. Paul Business Journal"/>
    <s v="100 Sixth St. N."/>
    <n v="55403"/>
    <n v="44.979905000000002"/>
    <n v="-93.274963"/>
    <m/>
    <m/>
    <m/>
    <m/>
    <m/>
    <m/>
    <m/>
    <m/>
    <s v="Metro"/>
    <x v="6"/>
  </r>
  <r>
    <x v="27"/>
    <d v="2024-11-25T00:00:00"/>
    <x v="898"/>
    <s v="Faribault"/>
    <s v="Rice"/>
    <s v="MN"/>
    <s v="Archer Datacenters SPE2 LLC of Chappaqua, New York, paid $4.5 million for the 87.6-acre property at 15339 Acorn Trail. The concept for the site, subject to change, plans for a “footprint of up to 500,000 square feet acros fors multiple potential data center buildings, and up to 120MW of power.” A proposed site plan posted on the Archer Datacenters website reveals plans for six data center buildings, a substation, and stormwater management areas. The site is about 41 miles from the MSP Airport."/>
    <s v="DC"/>
    <m/>
    <m/>
    <x v="0"/>
    <n v="500000"/>
    <x v="102"/>
    <x v="9"/>
    <s v="https://finance-commerce.com/2024/11/data-center-site-in-faribault-fetches-4-5m/"/>
    <s v="Finance &amp; Commerce"/>
    <s v="15339 Acorn Trail"/>
    <n v="55021"/>
    <n v="44.365589999999997"/>
    <n v="-93.286861000000002"/>
    <m/>
    <m/>
    <m/>
    <m/>
    <m/>
    <m/>
    <m/>
    <m/>
    <s v="South"/>
    <x v="6"/>
  </r>
  <r>
    <x v="27"/>
    <d v="2024-12-01T00:00:00"/>
    <x v="899"/>
    <s v="Farmington"/>
    <s v="Dakota"/>
    <s v="MN"/>
    <s v="Farmington is on its way to being the home of a sprawling $5 billion data center park. Tract, a data center development company, plans to build the Farmington Technology Park on 340 acres. The site plan includes up to 12 data center buildings spanning more than 2.5 million square feet and two administrative buildings across two campus site locations. The full buildout of the data center park is expected to take five to 10 years to complete and they anticipate site work starting in 2026."/>
    <s v="DC"/>
    <n v="5000000000"/>
    <m/>
    <x v="0"/>
    <n v="2534200"/>
    <x v="102"/>
    <x v="9"/>
    <s v="https://www.twincities.com/2024/12/01/farmington-data-center-park-advances-objections/"/>
    <s v="St Paul Pioneer Press"/>
    <s v="2830 W. 220th St."/>
    <n v="55024"/>
    <n v="44.628574"/>
    <n v="-93.122412999999995"/>
    <m/>
    <m/>
    <m/>
    <m/>
    <m/>
    <m/>
    <m/>
    <m/>
    <s v="Metro"/>
    <x v="6"/>
  </r>
  <r>
    <x v="27"/>
    <d v="2024-12-05T00:00:00"/>
    <x v="900"/>
    <s v="Rochester"/>
    <s v="Olmsted"/>
    <s v="MN"/>
    <s v="Cytotheryx, a growing Rochester biotech company, plans to move into the former Waters Medical Systems facility, which already has a state-of-the-art clean room and lab space, to house its lab and production expansion. Cytotheryx develops therapies to treat liver disease using genetically engineered pigs called &quot;proprietary bio-incubators&quot; to make human liver cells. Cytotheryx will lease the facility in a $2.05M deal, and will invest $410K in renovations and $828K in equipment._x000a_Cytotheryx plans to add 22 new full-time jobs to its current staff of 12 within three years. _x000a_DEED MIF: $325K, JCF $140K"/>
    <s v="RD"/>
    <n v="3288024"/>
    <n v="22"/>
    <x v="0"/>
    <n v="18468"/>
    <x v="75"/>
    <x v="4"/>
    <s v="https://infoweb.newsbank.com/apps/news/document-view?p=NewsBank&amp;docref=news/19D486DBAD6258E0&amp;f=basic"/>
    <s v="Rochester Post-Bulletin (News Bank)"/>
    <s v="2112 15th St NW"/>
    <n v="55901"/>
    <n v="44.037703999999998"/>
    <n v="-92.495992000000001"/>
    <s v="Government"/>
    <s v="MIF $325K, JCF $140K"/>
    <n v="465000"/>
    <m/>
    <m/>
    <m/>
    <m/>
    <m/>
    <s v="South"/>
    <x v="6"/>
  </r>
  <r>
    <x v="27"/>
    <d v="2024-12-06T00:00:00"/>
    <x v="574"/>
    <s v="Bloomington"/>
    <s v="Hennepin"/>
    <s v="MN"/>
    <s v="Semiconductor manufacturer SkyWater Technology will receive up to $16 million in federal funding from the CHIPS and Science Act to upgrade its Bloomington plant. SkyWater will use $127 million, including $19 million from the MN Forward Fund, through the next five years to improve its infrastructure and cybersecurity systems, among other upgrades. The investment will increase production capacity by 30% and create about 70 jobs. _x000a_The funding will complement more than $320 million in ongoing facility and equipment upgrades planned through 2026."/>
    <s v="MF"/>
    <n v="127000000"/>
    <n v="70"/>
    <x v="0"/>
    <m/>
    <x v="23"/>
    <x v="1"/>
    <s v="https://www.startribune.com/skywater-technology-semiconductor-chips-science-act-federal-fund/601191886"/>
    <s v="Minnesota Star Tribune"/>
    <s v="2401 E 86th St"/>
    <n v="55431"/>
    <n v="44.848171999999998"/>
    <n v="-93.310080999999997"/>
    <s v="Government"/>
    <s v="MN Forward Fund $19M, Federal CHIPS $16M"/>
    <n v="35000000"/>
    <m/>
    <m/>
    <m/>
    <m/>
    <m/>
    <s v="Metro"/>
    <x v="6"/>
  </r>
  <r>
    <x v="27"/>
    <d v="2024-12-09T00:00:00"/>
    <x v="901"/>
    <s v="Otsego"/>
    <s v="Wright"/>
    <s v="MN"/>
    <s v="Canadian gas station company Circle K, which owns and operates Holiday Stationstores in Minnesota, is opening a distribution center in Otsego as part of its recent supply chain expansion in the Midwest. Circle K is a subsidiary of Quebec-based Alimentation Couche-Tard Inc.  The 260,000-square-foot distribution center is located at the Gateway North Business Center. Circle K anticipates starting operations at the center in late 2025. Staffing will range from 140 to 230 employees. "/>
    <s v="DW"/>
    <m/>
    <n v="230"/>
    <x v="0"/>
    <n v="260000"/>
    <x v="0"/>
    <x v="8"/>
    <s v="https://www.bizjournals.com/twincities/news/2024/12/09/circle-k-otsego.html"/>
    <s v="Minneapolis-St. Paul Business Journal"/>
    <s v="6301 Queens Ave. NE"/>
    <n v="55330"/>
    <n v="45.243062999999999"/>
    <n v="-93.553585999999996"/>
    <m/>
    <m/>
    <m/>
    <s v="x"/>
    <s v="Alimentation Couche Tard"/>
    <m/>
    <s v="Quebec"/>
    <s v="CANADA"/>
    <s v="Central"/>
    <x v="6"/>
  </r>
  <r>
    <x v="27"/>
    <d v="2024-12-10T00:00:00"/>
    <x v="815"/>
    <s v="Bloomington"/>
    <s v="Hennepin"/>
    <s v="MN"/>
    <s v="City of Bloomington Construction Permits: Interior office space renovation and associated mechanical and electrical work."/>
    <s v="OF"/>
    <n v="950000"/>
    <m/>
    <x v="0"/>
    <m/>
    <x v="4"/>
    <x v="1"/>
    <s v="https://www.bloomingtonmn.gov/bldg/permit-status-inspection-results-and-monthly-building-reports"/>
    <s v="City of Bloomington"/>
    <s v="9300 BLOOMINGTON FWY"/>
    <n v="55431"/>
    <n v="44.834688999999997"/>
    <n v="-93.297280999999998"/>
    <m/>
    <m/>
    <m/>
    <m/>
    <m/>
    <m/>
    <m/>
    <m/>
    <s v="Metro"/>
    <x v="6"/>
  </r>
  <r>
    <x v="27"/>
    <d v="2024-12-17T00:00:00"/>
    <x v="902"/>
    <s v="Chaska"/>
    <s v="Carver"/>
    <s v="MN"/>
    <s v="Beckman Coulter, a manufacturer of medical diagnostic equipment for the health care industry, is planning a $50 million building expansion in Chaska. Beckman Coulter estimates the expansion will create 300 new full-time jobs within three years. The City Council approved the plan for a 148,000-square-foot addition to an existing 60,000-square-foot building at 316 Hazeltine Drive on Beckman Coulter’s 12.9 acre campus._x000a_DEED JCF Award $1.74M"/>
    <s v="MF"/>
    <n v="50000000"/>
    <n v="300"/>
    <x v="0"/>
    <n v="148000"/>
    <x v="11"/>
    <x v="1"/>
    <s v="https://finance-commerce.com/2024/12/chaska-advances-beckman-coulter-expansion-plans/"/>
    <s v="Finance &amp; Commerce"/>
    <s v="316 Hazeltine Drive,"/>
    <n v="55318"/>
    <n v="44.835619999999999"/>
    <n v="-93.601780000000005"/>
    <s v="Government"/>
    <s v="JCF ($1.74M), MIF ($1.25M)"/>
    <n v="2990000"/>
    <m/>
    <m/>
    <m/>
    <s v="California"/>
    <m/>
    <s v="Metro"/>
    <x v="6"/>
  </r>
  <r>
    <x v="27"/>
    <d v="2024-12-31T00:00:00"/>
    <x v="903"/>
    <s v="Brooklyn Park"/>
    <s v="Hennepin"/>
    <s v="MN"/>
    <s v="Walman Optical is a leading provider of eyeglasses and eyeglass lenses in the U.S. Walman plans to increase production at their facility in Brooklyn Park, their largest one nationwide, from 6,000 eyeglass lenses/day to 6,800/day by 2025.  Company investment in advanced eyecare technologies will require hiring more staff and provding addiitional training to 234 staff (incl. 22 new staff). Walman Optical is partnering with North Hennepin Community College. Training runs Jan 2025-Jan 2028. _x000a_MJSP grant of $256K."/>
    <m/>
    <m/>
    <n v="22"/>
    <x v="0"/>
    <m/>
    <x v="11"/>
    <x v="1"/>
    <s v="n/a"/>
    <s v="DEED"/>
    <s v="9200 Wyoming Ave N # 365,"/>
    <n v="55445"/>
    <n v="45.122045999999997"/>
    <n v="-93.380097000000006"/>
    <s v="Government"/>
    <s v="MJSP"/>
    <n v="256198"/>
    <m/>
    <m/>
    <m/>
    <m/>
    <m/>
    <s v="Metro"/>
    <x v="6"/>
  </r>
  <r>
    <x v="28"/>
    <d v="2025-01-08T00:00:00"/>
    <x v="904"/>
    <s v="Edina"/>
    <s v="Hennepin"/>
    <s v="MN"/>
    <s v="The Opus Group plans to replace an aging Edina office site with a 112,000-square-foot office building at 5100 Eden Ave, a portion of which would serve as the developer's new headquarters. Opus would be a lead tenant — occupying about 30% of the building (or about 33,600 sqft)— and relocate its headquarters from Minnetonka. If approved, the project is expected to break ground in summer 2025 and be complete in late 2026."/>
    <s v="HQ, OF"/>
    <m/>
    <m/>
    <x v="0"/>
    <n v="33600"/>
    <x v="0"/>
    <x v="11"/>
    <s v="https://www.bizjournals.com/twincities/news/2025/01/08/opus-plans-edina-headquarters-office-highway-100.html"/>
    <s v="Minneapolis-Saint Paul Business Journal"/>
    <s v="5100 Eden Ave"/>
    <n v="55436"/>
    <n v="44.910004000000001"/>
    <n v="-93.351977000000005"/>
    <m/>
    <m/>
    <m/>
    <m/>
    <m/>
    <m/>
    <m/>
    <m/>
    <s v="Metro"/>
    <x v="7"/>
  </r>
  <r>
    <x v="28"/>
    <d v="2025-01-10T00:00:00"/>
    <x v="221"/>
    <s v="Maple Grove"/>
    <s v="Hennepin"/>
    <s v="MN"/>
    <s v="Francis Medical has closed on an $80 million Series C funding round, bringing its total raised to date to $160 million. Francis Medical is developing technology that uses water vapor to treat prostate cancer. The funding will continue the company's clinical trial and enable hiring of about 31 new employees, largely for roles in research and development, sales, and marketing. The company currently has about 40 employees."/>
    <s v="MF"/>
    <m/>
    <n v="31"/>
    <x v="0"/>
    <m/>
    <x v="11"/>
    <x v="1"/>
    <s v="https://tcbmag.com/francis-medical-lands-80m-in-quest-to-conquer-prostate-cancer/"/>
    <s v="Twin Cities Business"/>
    <s v="7351 Kirkwood Ln N #130"/>
    <n v="55369"/>
    <n v="45.088495000000002"/>
    <n v="-93.435485"/>
    <m/>
    <m/>
    <m/>
    <m/>
    <m/>
    <m/>
    <m/>
    <m/>
    <s v="Metro"/>
    <x v="7"/>
  </r>
  <r>
    <x v="28"/>
    <d v="2025-01-10T00:00:00"/>
    <x v="905"/>
    <s v="St. Joseph"/>
    <s v="Stearns"/>
    <s v="MN"/>
    <s v="Interstate Bearing Systems, based in Waite Park, broke ground in December at a new location in St. Joseph to help consolidate the comany's operations from two buildings to one.. The new structure will increase by 50% to 15,000 square feet. The new structure provides added office space and meeting rooms.  Interstate Bearing Systems manufactures items like bearings, electric motors and power transmission products. Its new location is estimated to open this summer."/>
    <s v="MF, OF, RD, DW"/>
    <m/>
    <m/>
    <x v="0"/>
    <n v="15000"/>
    <x v="4"/>
    <x v="1"/>
    <s v="https://www.sctimes.com/story/news/local/2025/01/10/interstate-bearing-systems-moving-to-st-joseph-mn/77484579007/"/>
    <s v="St Cloud Times"/>
    <m/>
    <n v="56374"/>
    <n v="45.564959999999999"/>
    <n v="-94.318330000000003"/>
    <m/>
    <m/>
    <m/>
    <m/>
    <m/>
    <m/>
    <m/>
    <m/>
    <s v="Central"/>
    <x v="7"/>
  </r>
  <r>
    <x v="28"/>
    <d v="2025-01-22T00:00:00"/>
    <x v="906"/>
    <s v="St. Joseph"/>
    <s v="Stearns"/>
    <s v="MN"/>
    <s v="St. Cloud manufacturer Premier Stone Design will be more than doubling in size with a move next fall to St. Joseph. The $4.2 million expansion is currently under construction and is expected to create new jobs. The company will be moving to a new 19,000-square-foot facility that features an expanded indoor showroom, more manufacturing space, and new equipment. Premier Stone Design opened in 2004 and is a family business that sells stone products like sinks and countertops."/>
    <s v="MF"/>
    <n v="4200000"/>
    <m/>
    <x v="0"/>
    <n v="19000"/>
    <x v="105"/>
    <x v="1"/>
    <s v="https://www.sctimes.com/story/news/local/2025/01/22/premier-stone-design-moves-to-st-joseph-home-business-marble-granite-minnesota-dakotas/77723220007/"/>
    <s v="St Cloud Times"/>
    <s v="2050 Jasmine Court"/>
    <n v="56374"/>
    <n v="45.575485999999998"/>
    <n v="-94.311665000000005"/>
    <m/>
    <m/>
    <m/>
    <m/>
    <m/>
    <m/>
    <m/>
    <m/>
    <s v="Central"/>
    <x v="7"/>
  </r>
  <r>
    <x v="28"/>
    <d v="2025-01-23T00:00:00"/>
    <x v="907"/>
    <s v="Arden Hills"/>
    <s v="Ramsey"/>
    <s v="MN"/>
    <s v="Medical technology manufacturer Intricon Corp. is expanding its headquarters in Arden Hills. The company signed a new 11-year lease that will add 28,000 square feet to the company's existing 47,000-square-foot footprint in the building; Intricon now accounts for 80% of the property's space. At Intricon's expanded headquarters and existing offices will be moved to the new space, allowing for the production and engineering lab areas to increase. The company has over 500 local employees."/>
    <s v="HQ, MF, RD"/>
    <m/>
    <m/>
    <x v="0"/>
    <n v="28000"/>
    <x v="11"/>
    <x v="1"/>
    <s v="https://www.bizjournals.com/twincities/inno/stories/news/2025/01/23/intricon-expands-headquarters-arden-hills.html?utm_source=st&amp;utm_medium=en&amp;utm_campaign=me&amp;utm_content=MN&amp;ana=e_MN_me&amp;j=38326361&amp;senddate=2025-01-24&amp;empos=p4"/>
    <s v="Minneapolis-Saint Paul Business Journal"/>
    <s v="1275 Grey Fox Road"/>
    <n v="55112"/>
    <n v="45.055141999999996"/>
    <n v="-93.155147999999997"/>
    <m/>
    <m/>
    <m/>
    <m/>
    <m/>
    <m/>
    <m/>
    <m/>
    <s v="Metro"/>
    <x v="7"/>
  </r>
  <r>
    <x v="28"/>
    <d v="2025-01-24T00:00:00"/>
    <x v="908"/>
    <s v="Plymouth"/>
    <s v="Hennepin"/>
    <s v="MN"/>
    <s v="Denmark manufacturer Danfoss will close its Eden Prairie campus, laying off 110 employees and moving the rest to its Plymouth campus that it's expanding. Danfoss Power Solutions designs and manufactures engineered components like hydraulic products, electric and industrial motors and more. The division will relocate its engineering and administrative teams from its Eden Prairie campus to its Plymouth campus, where it plans to build out a facility next to its existing location at 3500 Annapolis Lane N. "/>
    <s v="MF"/>
    <m/>
    <m/>
    <x v="0"/>
    <m/>
    <x v="4"/>
    <x v="1"/>
    <s v="https://www.bizjournals.com/twincities/news/2025/01/24/danfoss-to-close-eden-prairie-campus-layoffs.html"/>
    <s v="Minneapolis-Saint Paul Business Journal"/>
    <s v="3500 Annapolis Lane N"/>
    <n v="55447"/>
    <n v="45.020057000000001"/>
    <n v="-93.457093999999998"/>
    <m/>
    <m/>
    <m/>
    <s v="Yes"/>
    <s v="Danfoss Power Solutions"/>
    <m/>
    <m/>
    <s v="Denmark"/>
    <s v="Metro"/>
    <x v="7"/>
  </r>
  <r>
    <x v="28"/>
    <d v="2025-01-24T00:00:00"/>
    <x v="909"/>
    <s v="Hutchinson"/>
    <s v="McLeod"/>
    <s v="MN"/>
    <s v="Eagan-based Miller Manufacturing Co. has announced it has paid $4.64 million for a 60,000-square-foot distribution and warehouse facility in Hutchinson. The new facility gives Miller greater operational flexibility. Miller is a manufacturer, distributor and marketer of farm, ranch and pet products sold under various brand names. The current expansion comes three years after Miller took over the former Lakeland Tool and Engineering Inc. in Anoka."/>
    <s v="DW"/>
    <n v="4646500"/>
    <m/>
    <x v="0"/>
    <n v="60000"/>
    <x v="4"/>
    <x v="1"/>
    <s v="https://finance-commerce.com/2025/01/just-sold-manufacturer-buys-hutchinson-warehouse/"/>
    <s v="Finance &amp; Commerce"/>
    <s v="1105 Benjamin Drive SE"/>
    <n v="55350"/>
    <n v="44.875565000000002"/>
    <n v="-94.266332000000006"/>
    <m/>
    <m/>
    <m/>
    <m/>
    <m/>
    <m/>
    <m/>
    <m/>
    <s v="Central"/>
    <x v="7"/>
  </r>
  <r>
    <x v="28"/>
    <d v="2025-01-27T00:00:00"/>
    <x v="910"/>
    <s v="Eden Prairie"/>
    <s v="Hennepin"/>
    <s v="MN"/>
    <s v="Edina-based HM Cragg will move into a 92,224-square-foot facility in Eden Prairie currengly under development. Construction work, including demolishing the existing buildings on the site, begins in March. Construction is expected to be complete by the end of 2025. HM Cragg sells, installs and services backup power systems. HM Crgg will relocate about 50 employees from its current headquarters in Edina, expected in the first quarter of 2026. HM Cragg also has another facility in Shakopee."/>
    <s v="HQ, OF"/>
    <m/>
    <m/>
    <x v="0"/>
    <n v="92000"/>
    <x v="0"/>
    <x v="10"/>
    <s v="https://www.bizjournals.com/twincities/news/2025/01/27/hm-edina-eden-prairie-american-family-industrial.html"/>
    <s v="Minneapolis-Saint Paul Business Journal"/>
    <s v="6131 Blue Circle Drive "/>
    <n v="55343"/>
    <n v="44.891055999999999"/>
    <n v="-93.407538000000002"/>
    <m/>
    <m/>
    <m/>
    <m/>
    <m/>
    <m/>
    <m/>
    <m/>
    <s v="Metro"/>
    <x v="7"/>
  </r>
  <r>
    <x v="28"/>
    <d v="2025-01-29T00:00:00"/>
    <x v="911"/>
    <s v="Plymouth"/>
    <s v="Hennepin"/>
    <s v="MN"/>
    <s v="Alter Technology US Inc., a new U.S. subsidiary of Germany-based Tüv Nord Group, proposes to lease 14,000 sqft space  in an existing building in Plymouth, and invest $4.5 million ($1.5 million renovations, $3.0 million new equipment). Creation of 16 new high paying jobs in the first 3 years. Company specializes in testing semiconductors demanded by the aerospace, defense and medical industries. Update: 11/2025: Operations to begin at the new facility in Plymouth in 10/2025. _x000a_DEED JCF Award $175K"/>
    <s v="RD"/>
    <n v="4513000"/>
    <n v="16"/>
    <x v="0"/>
    <n v="13765"/>
    <x v="100"/>
    <x v="4"/>
    <s v="https://www.bizjournals.com/twincities/news/2025/01/29/alter-technology-plymouth-semiconductor-facility.html"/>
    <s v="Minneapolis-Saint Paul Business Journal"/>
    <m/>
    <n v="55441"/>
    <n v="45.010519000000002"/>
    <n v="-93.455509000000006"/>
    <s v="Government"/>
    <s v="JCF ($175K), MIF ($100K)"/>
    <n v="275000"/>
    <s v="Yes"/>
    <s v="Tüv Nord Group"/>
    <m/>
    <m/>
    <s v="Germany"/>
    <s v="Metro"/>
    <x v="7"/>
  </r>
  <r>
    <x v="28"/>
    <d v="2025-02-04T00:00:00"/>
    <x v="815"/>
    <s v="Bloomington"/>
    <s v="Hennepin"/>
    <s v="MN"/>
    <s v="City of Bloomington Building Permit: Renovation of interior office space, restrooms, associated mechanical and electrical work on the 2nd floor."/>
    <s v="OF"/>
    <n v="1920000"/>
    <m/>
    <x v="0"/>
    <m/>
    <x v="4"/>
    <x v="1"/>
    <s v="https://www.bloomingtonmn.gov/bldg/permit-status-inspection-results-monthly-building-reports"/>
    <s v="City of Bloomington Building Permits"/>
    <s v="9301 JAMES AVE S, BLOOMINGTON, MN 55431"/>
    <n v="55431"/>
    <n v="44.835746"/>
    <n v="-93.299826999999993"/>
    <m/>
    <m/>
    <m/>
    <m/>
    <m/>
    <m/>
    <m/>
    <m/>
    <s v="Metro"/>
    <x v="7"/>
  </r>
  <r>
    <x v="28"/>
    <d v="2025-02-04T00:00:00"/>
    <x v="912"/>
    <s v="Ham Lake"/>
    <s v="Anoka"/>
    <s v="MN"/>
    <s v="Global Distribution, a Blaine wholesaler of e-cigarettes and tobacco accessories, has paid $5.1 million for larger quarters and is relocating to Ham Lake. Z &amp; A Investments LLC, an entity related to the distributor, closed Jan. 24 on the acquisition. The 54,267-square-foot building was developed in 2001 on 5.39 acres. "/>
    <s v="DW"/>
    <n v="5100000"/>
    <m/>
    <x v="0"/>
    <m/>
    <x v="0"/>
    <x v="10"/>
    <s v="https://finance-commerce.com/2025/02/global-distribution-ham-lake-moorhead-vanne-apartments-sold/"/>
    <s v="Finance &amp; Commerce"/>
    <s v="14203 Lincoln Ave"/>
    <n v="55304"/>
    <n v="45.228043999999997"/>
    <n v="-93.237540999999993"/>
    <m/>
    <m/>
    <m/>
    <m/>
    <m/>
    <m/>
    <m/>
    <m/>
    <s v="Metro"/>
    <x v="7"/>
  </r>
  <r>
    <x v="28"/>
    <d v="2025-02-05T00:00:00"/>
    <x v="913"/>
    <s v="Mankato"/>
    <s v="Blue Earth"/>
    <s v="MN"/>
    <s v="Rolls-Royce Solutions America plans to invest $35 million at its two facilities in Mankato. Rolls-Royce currently has 419 employees at its 107,000-square-foot manufacturing facility on Power Drive in Mankato. They plan to invest $30.5 million to expand that plant by 280,000 square feet,  and another $4.5 million in their leased facility at 304 Lundin Blvd. As a result, RRSA will create 128 new jobs over 3 years across the Power Drive (50 direct jobs, 53 indirect jobs) and Lundin Blvd (25 direct jobs) locations.``_x000a_DEED JCF Award $500,000 (July 2025)"/>
    <s v="MF"/>
    <n v="35000000"/>
    <n v="128"/>
    <x v="0"/>
    <n v="280000"/>
    <x v="4"/>
    <x v="1"/>
    <s v="https://infoweb.newsbank.com/apps/news/document-view?p=NewsBank&amp;docref=news/19E8ED3E707B29D0&amp;f=basic"/>
    <s v="The Free Press (Mankato) via Newsbank"/>
    <s v="100 Power Drive "/>
    <n v="56001"/>
    <n v="44.181032999999999"/>
    <n v="-93.939030000000002"/>
    <s v="Government"/>
    <s v="JCF"/>
    <n v="500000"/>
    <s v="Yes"/>
    <s v="Rolls Royce"/>
    <m/>
    <m/>
    <s v="Germany"/>
    <s v="South"/>
    <x v="7"/>
  </r>
  <r>
    <x v="28"/>
    <d v="2025-02-10T00:00:00"/>
    <x v="914"/>
    <s v="Eagan"/>
    <s v="Dakota"/>
    <s v="MN"/>
    <s v="Buddy’s Kitchen, a frozen food manufacturer that has facilities in Burnsville and Lakeville, plans to build a new facility at the former Blue Cross Blue Shield campus in Eagan. Involves demolishing an existing building and constructing a new 282,000-square-foot production facility that would hire 650 employees across three work shifts.  About 35,000 square feet would be office space while the remaining footprint will be used for production, warehousing and distribution. Anticipate starting construction in 2026 and starting operations in 2027."/>
    <s v="MF, OF"/>
    <m/>
    <m/>
    <x v="0"/>
    <n v="282000"/>
    <x v="56"/>
    <x v="1"/>
    <s v="https://finance-commerce.com/2025/02/eagan-food-production-facility-bcbs-campus/"/>
    <s v="Finance &amp; Commerce"/>
    <s v="3535 Blue Cross Road"/>
    <n v="55122"/>
    <n v="44.830719000000002"/>
    <n v="-93.192853999999997"/>
    <m/>
    <m/>
    <m/>
    <m/>
    <m/>
    <m/>
    <m/>
    <m/>
    <s v="Metro"/>
    <x v="7"/>
  </r>
  <r>
    <x v="28"/>
    <d v="2025-02-12T00:00:00"/>
    <x v="915"/>
    <s v="Lake Elmo"/>
    <s v="Washington"/>
    <s v="MN"/>
    <s v="Bibliotheca, a library technology service company, is the first tenant in a new, 150,000-square-foot property in Lake Elmo. Bibliotheca will lease 10,000 square feet of office space and 22,000 square feet of industrial space in a newly built warehouse.  The move allows the company to consolidate operations to one location. A ribbon cutting ceremony was held on February 6. Bibliotheca works with 30,000 libraries around the globe to make the library experience seamless, intuitive, and inclusive. "/>
    <s v="HQ, DW"/>
    <m/>
    <m/>
    <x v="0"/>
    <n v="32000"/>
    <x v="3"/>
    <x v="4"/>
    <s v="https://transwestern.com/news-detail/bibliotheca-consolidates-operations-with-new-32-000-sf-lease-in-lake-elmo"/>
    <s v="Transwestern"/>
    <s v="11190 Hudson Blvd"/>
    <n v="55042"/>
    <n v="44.950574000000003"/>
    <n v="-92.878980999999996"/>
    <m/>
    <m/>
    <m/>
    <m/>
    <m/>
    <m/>
    <m/>
    <m/>
    <s v="Metro"/>
    <x v="7"/>
  </r>
  <r>
    <x v="28"/>
    <d v="2025-02-13T00:00:00"/>
    <x v="916"/>
    <s v="Minneapoiis"/>
    <s v="Hennepin"/>
    <s v="MN"/>
    <s v="The Metropolitan Transportation Network Inc. (MTN), which provides school transportation, charter and consulting services, is expanding and bought a 74,000-square-foot industrial real estate building in northeast Minneapolis for $8 million,  The company is keeping its current headquarters in Fridley. MTN has spent over $2 million on renovations to the building. MTN plans to store 25 electric buses in the building. The expansion creates an additional 200 jobs."/>
    <m/>
    <n v="10000000"/>
    <n v="200"/>
    <x v="0"/>
    <m/>
    <x v="0"/>
    <x v="3"/>
    <s v="https://www.bizjournals.com/twincities/news/2025/02/13/metropolitan-transportation-network-northeast.html"/>
    <s v="Minneapolis-Saint Paul Business Journal"/>
    <s v="3134 California St. NE."/>
    <n v="55421"/>
    <n v="45.025390000000002"/>
    <n v="-93.269240999999994"/>
    <m/>
    <m/>
    <m/>
    <m/>
    <m/>
    <m/>
    <m/>
    <m/>
    <s v="Metro"/>
    <x v="7"/>
  </r>
  <r>
    <x v="28"/>
    <d v="2025-02-20T00:00:00"/>
    <x v="326"/>
    <s v="Maple Grove"/>
    <s v="Hennepin"/>
    <s v="MN"/>
    <s v="Boston Scientific has approximately doubled its Minnesota workforce in the last 15 years to about 10,000. It has become the largest employer in both Maple Grove and Arden Hills. Boston Scienitific plans a new expansion of its Weaver Lake 4 building, with the first phase including a 52,000-square-foot facility costing $139.4 million, which would create 440 new jobs by 2030 and the second involving a 31,800 square foot addition. The expansions will add needed production space. Both phases may be built at once. Proposal to begin construction next year with completion in 2026."/>
    <s v="MF"/>
    <n v="139400000"/>
    <n v="440"/>
    <x v="0"/>
    <n v="83649"/>
    <x v="11"/>
    <x v="1"/>
    <s v="https://ccxmedia.org/news/maple-grove-approves-boston-scientific-expansion-plan-2025/"/>
    <s v="CCX Media"/>
    <s v="1 Scimed Pl"/>
    <n v="55311"/>
    <n v="45.103912999999999"/>
    <n v="-93.467676999999995"/>
    <s v="Government"/>
    <s v="MIF $1M, JCF $1.66M"/>
    <n v="2660000"/>
    <m/>
    <m/>
    <m/>
    <m/>
    <m/>
    <s v="Metro"/>
    <x v="7"/>
  </r>
  <r>
    <x v="28"/>
    <d v="2025-02-20T00:00:00"/>
    <x v="739"/>
    <s v="Bloomington"/>
    <s v="Hennepin"/>
    <s v="MN"/>
    <s v="Flexible office space company International Workplace Group, (IWG) will add five new Twin Cities locations this year. The Switzerland-based company announced it will be opening flexible workspaces under its Regus brand. The additions bring IWG's portfolio of workspaces in Minnesota to more than 20. The new locations will be in Bloomington, Minneapolis' North Loop neighborhood, in downtown St. Cloud,  Hastings and Eagan."/>
    <s v="OF"/>
    <m/>
    <m/>
    <x v="0"/>
    <m/>
    <x v="0"/>
    <x v="22"/>
    <s v="https://www.bizjournals.com/twincities/news/2025/02/20/iwg-adds-5-coworking-locations-in-the-twin-cities.html"/>
    <s v="Minneapolis-Saint Paul Business Journal"/>
    <s v="7825 Washington Ave. S"/>
    <n v="55439"/>
    <n v="44.976354000000001"/>
    <n v="-93.255191999999994"/>
    <m/>
    <m/>
    <m/>
    <s v="Yes"/>
    <s v="IWG"/>
    <m/>
    <m/>
    <s v="Switzerland"/>
    <s v="Metro"/>
    <x v="7"/>
  </r>
  <r>
    <x v="28"/>
    <d v="2025-02-20T00:00:00"/>
    <x v="739"/>
    <s v="Minneapoiis"/>
    <s v="Hennepin"/>
    <s v="MN"/>
    <s v="Flexible office space company International Workplace Group, (IWG) will add five new Twin Cities locations this year. The Switzerland-based company announced it will be opening flexible workspaces under its Regus brand. The additions bring IWG's portfolio of workspaces in Minnesota to more than 20. The new locations will be in Bloomington, Minneapolis' North Loop neighborhood, in downtown St. Cloud,  Hastings and Eagan."/>
    <s v="OF"/>
    <m/>
    <m/>
    <x v="0"/>
    <m/>
    <x v="0"/>
    <x v="22"/>
    <s v="https://www.bizjournals.com/twincities/news/2025/02/20/iwg-adds-5-coworking-locations-in-the-twin-cities.html"/>
    <s v="Minneapolis-Saint Paul Business Journal"/>
    <s v="333 Washington Ave. N."/>
    <n v="55415"/>
    <n v="44.984439000000002"/>
    <n v="-93.273833999999994"/>
    <m/>
    <m/>
    <m/>
    <s v="Yes"/>
    <s v="IWG"/>
    <m/>
    <m/>
    <s v="Switzerland"/>
    <s v="Metro"/>
    <x v="7"/>
  </r>
  <r>
    <x v="28"/>
    <d v="2025-02-20T00:00:00"/>
    <x v="739"/>
    <s v="St. Cloud"/>
    <s v="Stearns"/>
    <s v="MN"/>
    <s v="Flexible office space company International Workplace Group, (IWG) will add five new Twin Cities locations this year. The Switzerland-based company announced it will be opening flexible workspaces under its Regus brand. The additions bring IWG's portfolio of workspaces in Minnesota to more than 20. The new locations will be in Bloomington, Minneapolis' North Loop neighborhood, in downtown St. Cloud,  Hastings and Eagan."/>
    <s v="OF"/>
    <m/>
    <m/>
    <x v="0"/>
    <m/>
    <x v="0"/>
    <x v="22"/>
    <s v="https://www.bizjournals.com/twincities/news/2025/02/20/iwg-adds-5-coworking-locations-in-the-twin-cities.html"/>
    <s v="Minneapolis-Saint Paul Business Journal"/>
    <s v="501 St. Germain St. W"/>
    <n v="56301"/>
    <n v="45.561137000000002"/>
    <n v="-94.158377999999999"/>
    <m/>
    <m/>
    <m/>
    <s v="Yes"/>
    <s v="IWG"/>
    <m/>
    <m/>
    <s v="Switzerland"/>
    <s v="Central"/>
    <x v="7"/>
  </r>
  <r>
    <x v="28"/>
    <d v="2025-02-20T00:00:00"/>
    <x v="739"/>
    <s v="Hastings"/>
    <s v="Dakota"/>
    <s v="MN"/>
    <s v="Flexible office space company International Workplace Group, (IWG) will add five new Twin Cities locations this year. The Switzerland-based company announced it will be opening flexible workspaces under its Regus brand. The additions bring IWG's portfolio of workspaces in Minnesota to more than 20. The new locations will be in Bloomington, Minneapolis' North Loop neighborhood, in downtown St. Cloud,  Hastings and Eagan."/>
    <s v="OF"/>
    <m/>
    <m/>
    <x v="0"/>
    <m/>
    <x v="0"/>
    <x v="22"/>
    <s v="https://www.bizjournals.com/twincities/news/2025/02/20/iwg-adds-5-coworking-locations-in-the-twin-cities.html"/>
    <s v="Minneapolis-Saint Paul Business Journal"/>
    <s v="1640 Frontage Road S."/>
    <n v="55033"/>
    <n v="44.737631999999998"/>
    <n v="-92.886759999999995"/>
    <m/>
    <m/>
    <m/>
    <s v="Yes"/>
    <s v="IWG"/>
    <m/>
    <m/>
    <s v="Switzerland"/>
    <s v="Metro"/>
    <x v="7"/>
  </r>
  <r>
    <x v="28"/>
    <d v="2025-02-20T00:00:00"/>
    <x v="739"/>
    <s v="Eagan"/>
    <s v="Dakota"/>
    <s v="MN"/>
    <s v="Flexible office space company International Workplace Group, (IWG) will add five new Twin Cities locations this year. The Switzerland-based company announced it will be opening flexible workspaces under its Regus brand. The additions bring IWG's portfolio of workspaces in Minnesota to more than 20. The new locations will be in Bloomington, Minneapolis' North Loop neighborhood, in downtown St. Cloud,  Hastings and Eagan."/>
    <s v="OF"/>
    <m/>
    <m/>
    <x v="0"/>
    <m/>
    <x v="0"/>
    <x v="22"/>
    <s v="https://www.bizjournals.com/twincities/news/2025/02/20/iwg-adds-5-coworking-locations-in-the-twin-cities.html"/>
    <s v="Minneapolis-Saint Paul Business Journal"/>
    <s v="2640 Eagan Woods Drive"/>
    <n v="55122"/>
    <n v="44.779817999999999"/>
    <n v="-93.222494999999995"/>
    <m/>
    <m/>
    <m/>
    <s v="Yes"/>
    <s v="IWG"/>
    <m/>
    <m/>
    <s v="Switzerland"/>
    <s v="Metro"/>
    <x v="7"/>
  </r>
  <r>
    <x v="28"/>
    <d v="2025-02-24T00:00:00"/>
    <x v="917"/>
    <s v="Maple Grove"/>
    <s v="Hennepin"/>
    <s v="MN"/>
    <s v="Bioindustrial Manufacturing and Design Ecosystem (BioMADE), (NAICS 541714) plans to expand in Maple Grove.  BioMADE would invest $132M including $82M in federal funds from the DoD and up to $50M from the Minnesota Forward Fund, and create 25 new jobs. The new BioMADE space will provide R&amp;D and small-scale manufacturing services. The pilot facility will incorporate workforce training components. BioMADE wants to build out space within an existing 122,400-square-foot building in Maple Grove."/>
    <s v="MF, RD"/>
    <n v="132000000"/>
    <n v="25"/>
    <x v="0"/>
    <n v="122400"/>
    <x v="100"/>
    <x v="4"/>
    <s v="https://www.startribune.com/biomade-maple-grove-132-million-bio-industrial-plant-cargill-china-defense/601336560"/>
    <s v="Minnesota Star Tribune"/>
    <s v="7500 Meridian Circle"/>
    <n v="55369"/>
    <n v="45.091427000000003"/>
    <n v="-93.406041000000002"/>
    <s v="Government"/>
    <s v="$50M from MFF.  $82M in Federal funds from USDoD"/>
    <n v="132000000"/>
    <m/>
    <m/>
    <m/>
    <m/>
    <m/>
    <s v="Metro"/>
    <x v="7"/>
  </r>
  <r>
    <x v="28"/>
    <d v="2025-02-24T00:00:00"/>
    <x v="918"/>
    <s v="Rosemount"/>
    <s v="Dakota"/>
    <s v="MN"/>
    <s v="St. Paul-based North Wind Test LLC (North Wind) plans to invest $1 billion to build a state-of-the-art aerospace R&amp;D and testing center in Rosemount. The Complex will house hypersonic ground test facilities. A preliminary site plan includes multiple buildings with over 245,000 sqft of space, including wind tunnels, engineering space and offices. Investment includes $98.5M from U.S. DoD, up to $50M in Minnesota Forward Fund and North Wind’s owned equipment  worth $85M. Update 12/2025 Purchase of land at UMore Park for $8M. Expect to break ground in May/June 2026, fully operational by 2030."/>
    <s v="RD"/>
    <n v="1000000000"/>
    <n v="41"/>
    <x v="0"/>
    <n v="245000"/>
    <x v="100"/>
    <x v="4"/>
    <s v="https://mn.gov/admin/assets/SR49_35_tcm36-670221.pdf"/>
    <s v="DEED"/>
    <s v="170th Street East"/>
    <n v="55068"/>
    <n v="44.702818999999998"/>
    <n v="-93.020605000000003"/>
    <s v="Government"/>
    <s v="$50M from MFF, $98.5M in Federal funds from USDoD"/>
    <n v="148450000"/>
    <m/>
    <m/>
    <m/>
    <m/>
    <m/>
    <s v="Metro"/>
    <x v="7"/>
  </r>
  <r>
    <x v="28"/>
    <d v="2025-02-28T00:00:00"/>
    <x v="919"/>
    <s v="Plymouth"/>
    <s v="Hennepin"/>
    <s v="MN"/>
    <s v="An office property  located at 9800 59th Ave. in Plymouth, was purchased by JonnyPops, a frozen desert manufacturer that operates out of Elk River, for $9.9 million. JonnyPops will use 9800 at Bass Creek as both additional office space and as a research and development site, according to a company spokesperson. The company is calling the site its “innovation center.”_x000a_The seller of the property is Cantel Medical, a medical device company. The building has 160,000 square feet across four stories. "/>
    <s v="OF, RD"/>
    <n v="9900000"/>
    <m/>
    <x v="0"/>
    <n v="160000"/>
    <x v="56"/>
    <x v="1"/>
    <s v="https://finance-commerce.com/2025/02/jonnypops-buys-plymouth-office-at-a-discount/"/>
    <s v="Finance &amp; Commerce"/>
    <s v="9800 59th Ave."/>
    <n v="55441"/>
    <n v="45.010519000000002"/>
    <n v="-93.455509000000006"/>
    <m/>
    <m/>
    <m/>
    <m/>
    <m/>
    <m/>
    <m/>
    <m/>
    <s v="Metro"/>
    <x v="7"/>
  </r>
  <r>
    <x v="28"/>
    <d v="2025-03-04T00:00:00"/>
    <x v="920"/>
    <s v="Renville"/>
    <s v="Sibley"/>
    <s v="MN"/>
    <s v="CelluComp, a leading supplier of materials for fiber-based barrier packaging, is expanding to the U.S. with its first commercial-scale facility in Renville. It will begin producing its patented micro-fibrillated cellulose product, Curran, at the 15,000-square-foot facility starting in May.  Curran is made by extracting cellulose from residual pulp of root vegetables, like sugar beets, which is then used in making high-quality fiber-based packaging as an alternative to plastics and PFAS chemicals. The Scottish business is partnering with Southern Minnesota Beet Sugar Cooperative. CelluComp plans to hire up to 24 new employees in the region."/>
    <s v="MF"/>
    <m/>
    <n v="24"/>
    <x v="0"/>
    <n v="15000"/>
    <x v="106"/>
    <x v="1"/>
    <s v="https://www.packagingstrategies.com/articles/105458-cellucomp-to-produce-fiber-based-packaging-at-new-plant-in-minnesota"/>
    <s v="Packaging Strategies"/>
    <s v=" 409 4th St"/>
    <n v="55370"/>
    <n v="44.542929000000001"/>
    <n v="-94.369810000000001"/>
    <s v="Government"/>
    <s v="City of Renville Business Innovation Grant "/>
    <n v="3000"/>
    <s v="Yes"/>
    <s v="CelluComp"/>
    <m/>
    <m/>
    <s v="U.K. (Scotland)"/>
    <s v="South"/>
    <x v="7"/>
  </r>
  <r>
    <x v="28"/>
    <d v="2025-03-17T00:00:00"/>
    <x v="921"/>
    <s v="Chaska"/>
    <s v="Carver"/>
    <s v="MN"/>
    <s v="EDCO Products offers steel roofing, siding and other exterior building products. EDCO plans to build a 240,000-square-foot building to a 28-acre farm site in Chaska which includes enough room for a future expansion of up to 120,000 square feet. About 155 employees would work at the new Chaska location. The new building would house office, manufacturing and warehouse operations, replacing one of EDCO’s two existing facilities in Hopkins. "/>
    <s v="DW, MF, OF"/>
    <m/>
    <m/>
    <x v="0"/>
    <n v="240000"/>
    <x v="107"/>
    <x v="1"/>
    <s v="https://finance-commerce.com/2025/03/chaska-edco-manufacturing-facility-expansion/"/>
    <s v="Finance &amp; Commerce"/>
    <s v="Creek Road, Engler Boulevard, and the Chaska Creek Center."/>
    <n v="55318"/>
    <n v="44.807220999999998"/>
    <n v="-93.646288999999996"/>
    <m/>
    <m/>
    <m/>
    <m/>
    <m/>
    <m/>
    <m/>
    <m/>
    <s v="Metro"/>
    <x v="7"/>
  </r>
  <r>
    <x v="28"/>
    <d v="2025-03-26T00:00:00"/>
    <x v="922"/>
    <s v="Lakeville"/>
    <s v="Dakota"/>
    <s v="MN"/>
    <s v="_x000a_Advanced Exhaust Solutions, a Northfield-based provider of exhaust gas silencers and other products, purchased the 168,000-square-foot Jacquard Distribution Center for $22 million.  Although AES initially wanted to lease the building, once improvement costs were considered, they decided to buy the building. "/>
    <s v="DW"/>
    <n v="22000000"/>
    <m/>
    <x v="0"/>
    <n v="168000"/>
    <x v="4"/>
    <x v="1"/>
    <s v="https://finance-commerce.com/2025/03/lakeville-distribution-center-sold-22m/"/>
    <s v="Finance &amp; Commerce"/>
    <s v="10180 217th St. W"/>
    <n v="55044"/>
    <n v="44.635171999999997"/>
    <n v="-93.271928000000003"/>
    <m/>
    <m/>
    <m/>
    <m/>
    <m/>
    <m/>
    <m/>
    <m/>
    <s v="Metro"/>
    <x v="7"/>
  </r>
  <r>
    <x v="28"/>
    <d v="2025-03-31T00:00:00"/>
    <x v="923"/>
    <s v="Owatonna"/>
    <s v="Steele"/>
    <s v="MN"/>
    <s v="Tonna Mechanical provides HVAC and commercial plumbing services. Tonna Mechanical, based in Rochester, employs 74 full-time employees. Tonna Mechanical will be opening a second location in Owatonna in the spring of 2025. This expansion will relocate some current employees to Owatonna. The business expects to add 40 new jobs across the two locations. New hires will participate in one of four training programs, each representing 560 hours of training. The training costs will be covered by MJSP funds of $200,000 and Tonna's contribution of $1.07 million."/>
    <m/>
    <n v="1072740"/>
    <n v="40"/>
    <x v="0"/>
    <m/>
    <x v="0"/>
    <x v="11"/>
    <s v="n/a"/>
    <s v="DEED"/>
    <s v="1440 Industrial Dr NW"/>
    <n v="55901"/>
    <n v="44.037565000000001"/>
    <n v="-92.499775"/>
    <s v="Government"/>
    <s v="MJSP"/>
    <m/>
    <m/>
    <m/>
    <m/>
    <m/>
    <m/>
    <s v="South"/>
    <x v="7"/>
  </r>
  <r>
    <x v="28"/>
    <d v="2025-03-31T00:00:00"/>
    <x v="924"/>
    <s v="Rogers"/>
    <s v="Hennepin"/>
    <s v="MN"/>
    <s v="MJSP Award $326,630 to support training for 591 workers, including 60 new workers. Business will contribute $1.7 million toward the training spanning March 2025 to October 2028. Level of training: Retraining, Advanced. St. Cloud State University (SCSU), in partnership with Veit, will develop a streamlined, customized training program along three tracks, enabling employees to achieve their growth goals, support digital advancements, and remain competitive in the job market. The training program will be divided into three tracks. "/>
    <m/>
    <n v="1694400"/>
    <n v="60"/>
    <x v="0"/>
    <m/>
    <x v="0"/>
    <x v="11"/>
    <s v="n/a"/>
    <s v="DEED"/>
    <s v="14000 Veit Place"/>
    <n v="55374"/>
    <n v="45.204873999999997"/>
    <n v="-93.576346000000001"/>
    <s v="Government"/>
    <s v="MJSP"/>
    <n v="326630"/>
    <m/>
    <m/>
    <m/>
    <m/>
    <m/>
    <s v="Metro"/>
    <x v="7"/>
  </r>
  <r>
    <x v="29"/>
    <d v="2025-04-22T00:00:00"/>
    <x v="60"/>
    <s v="Mankato"/>
    <s v="Nicollet"/>
    <s v="MN"/>
    <s v="Amazon announced a new 60,000 square-foot delivery hub is being built in North Mankato’s North Port Industrial Center. The project is expected to open in December. It’s anticipated to bring about 75 new jobs into the area. The delivery hub is a “last-mile” center, which means products shipped from Amazon’s larger facilities will be sent to the North Mankato center, where it'll be delivered to customers by vans around the area. "/>
    <s v="DW"/>
    <m/>
    <n v="75"/>
    <x v="0"/>
    <m/>
    <x v="0"/>
    <x v="8"/>
    <s v="https://www.mprnews.org/story/2025/04/21/north-mankatos-industrial-park-soon-to-be-site-of-amazon-delivery-hub"/>
    <s v="MPR News"/>
    <m/>
    <n v="56073"/>
    <n v="44.173405000000002"/>
    <n v="-94.033640000000005"/>
    <m/>
    <m/>
    <m/>
    <m/>
    <s v="Amazon"/>
    <s v="Seattle"/>
    <s v="Washington"/>
    <m/>
    <s v="South"/>
    <x v="7"/>
  </r>
  <r>
    <x v="29"/>
    <d v="2025-04-23T00:00:00"/>
    <x v="925"/>
    <s v="Lakeville"/>
    <s v="Dakota"/>
    <s v="MN"/>
    <s v="Dakota Electric Association, a prominent south metro energy cooperative, bought land in Lakeville for $11.9 million. The property will serve as the group’s future headquarters.  The building would be 176,700 square feet, complete with space for office workers, as well as warehouse and storage space. Groundbreaking in June, anctipated completion of construction in summer 2027."/>
    <s v="HQ"/>
    <m/>
    <m/>
    <x v="0"/>
    <n v="176700"/>
    <x v="0"/>
    <x v="17"/>
    <s v="https://finance-commerce.com/2025/04/dakota-electric-lakeville-headquarters-land-sale/"/>
    <s v="Finance &amp; Commerce"/>
    <s v=" 6919 225th Street West."/>
    <n v="55044"/>
    <n v="44.633420999999998"/>
    <n v="-93.258120000000005"/>
    <m/>
    <m/>
    <m/>
    <m/>
    <m/>
    <m/>
    <m/>
    <m/>
    <s v="Metro"/>
    <x v="7"/>
  </r>
  <r>
    <x v="29"/>
    <d v="2025-04-24T00:00:00"/>
    <x v="926"/>
    <s v="Mankato"/>
    <s v="Nicollet"/>
    <s v="MN"/>
    <s v="RDO Equipment Co. produces IoT goods such as agriculture, construction, environmental, irrigation, positioning, and surveying equipment from leading manufacturers. Grand opening of their expanded facility in Mankato. The remodel tripled the North Mankato RDO store's service shop and parts warehouse square footage. RDO is one of the largest John Deere dealerships in the US. As a result of the expansion, RDO added three employees bringing its staff to 22 people. "/>
    <s v="DW"/>
    <m/>
    <n v="3"/>
    <x v="0"/>
    <m/>
    <x v="4"/>
    <x v="1"/>
    <s v="https://www.rdoequipment.com/resources/blogs/minnesota-heavy-equipment-store-remodel-triples-square-footage-adds-wirtgen-group"/>
    <s v="Company website"/>
    <s v="1910 Lor Ray Dr"/>
    <n v="56003"/>
    <n v="44.184891"/>
    <n v="-94.037332000000006"/>
    <m/>
    <m/>
    <m/>
    <m/>
    <m/>
    <m/>
    <m/>
    <m/>
    <s v="South"/>
    <x v="7"/>
  </r>
  <r>
    <x v="29"/>
    <d v="2025-04-25T00:00:00"/>
    <x v="609"/>
    <s v="Brooklyn Park"/>
    <s v="Hennepin"/>
    <s v="MN"/>
    <s v="Event production services company EideCom will double its footprint by addiing 20,000 additional square feet. The buildout will cost $300,000 and began last week. The company plans to invest $6 million in new equipment. EideCom will own a greater share of the items, as opposed to renting or leasing equipment. Typical equipment includes cameras, broadcast equipment, LED walls, light fixtures, switchers and more. Last year, EideCom was on Inc.'s 5000 list of fastest-growing companies in the U.S. "/>
    <s v="DW"/>
    <n v="6300000"/>
    <m/>
    <x v="0"/>
    <n v="20000"/>
    <x v="87"/>
    <x v="4"/>
    <s v="https://www.bizjournals.com/twincities/news/2025/04/25/events-production-eidecom-revenue-corporate-growth.html"/>
    <s v="Minneapolis-Saint Paul Business Journal"/>
    <s v="7601 Northland Drive N."/>
    <n v="55428"/>
    <n v="45.092261999999998"/>
    <n v="-93.398645999999999"/>
    <m/>
    <m/>
    <m/>
    <m/>
    <m/>
    <m/>
    <m/>
    <m/>
    <s v="Metro"/>
    <x v="7"/>
  </r>
  <r>
    <x v="29"/>
    <d v="2025-04-28T00:00:00"/>
    <x v="927"/>
    <s v="Minnetonka"/>
    <s v="Hennepin"/>
    <s v="MN"/>
    <s v="Legrand, a French manufacturer of electrical and digital infrastructure products, will move into a 98,000-square-foot building in Minnetonka, which accommodates up to 350 employees. Legrand signed a 10-year lease for the entire building at 10900 Red Circle Drive.  The space will serve as Legrand’s regional headquarters. The buildout is underway, with an expected move-in this summer. Legrand has 3 locations in the state, and executives from the Eden Prairie location will move to this new site."/>
    <s v="HQ, MF"/>
    <m/>
    <m/>
    <x v="0"/>
    <n v="98000"/>
    <x v="7"/>
    <x v="1"/>
    <s v="https://www.bizjournals.com/twincities/news/2025/04/28/legrand-move-minnetonka-manufacturer-opus-park.html"/>
    <s v="Minneapolis-Saint Paul Business Journal"/>
    <s v="10900 Red Circle Drive"/>
    <n v="55343"/>
    <n v="44.896129999999999"/>
    <n v="-93.417511000000005"/>
    <m/>
    <m/>
    <m/>
    <s v="Yes"/>
    <s v="Legrand"/>
    <m/>
    <m/>
    <s v="France"/>
    <s v="Metro"/>
    <x v="7"/>
  </r>
  <r>
    <x v="29"/>
    <d v="2025-04-29T00:00:00"/>
    <x v="928"/>
    <s v="Arden Hills"/>
    <s v="Rock"/>
    <s v="MN"/>
    <s v="Groundbreaking is expected this week on the 157,000-square-foot project that will become the headquarters of Micro Control Company, a test equipment manufacturer for the electronics industry. It will take up about 10 acres of Outlot A,  on the north end of Rice Creek Commons. Micro Control Co. is currently at based in Fridley. Its expertise is in microprocessor burn-in and its testing capabilities. The sale agreement indicates a price of $9.2 million for Outlot A and up to $3.5 million investment in a low carbon and energy-efficient design."/>
    <s v="HQ"/>
    <n v="12700000"/>
    <m/>
    <x v="0"/>
    <n v="157000"/>
    <x v="81"/>
    <x v="1"/>
    <s v="https://www.twincities.com/2025/04/28/officials-to-break-ground-on-1st-rice-creek-commons-project-in-arden-hills/?utm_email=3564C458B565624D24CD5471C5&amp;lctg=3564C458B565624D24CD5471C5&amp;active=no&amp;engagement=&amp;utm_source=listrak&amp;utm_medium=email&amp;utm_term=https%3a%2f%2fwww.twincities.com%2f2025%2f04%2f28%2fofficials-to-break-ground-on-1st-rice-creek-commons-project-in-arden-hills%2f&amp;utm_campaign=stpa-st_paul_pioneer_press-morning_report-nl&amp;utm_content=manual"/>
    <s v="Saint Paul Pioneer Press"/>
    <s v="3751 Lexington Ave N,"/>
    <n v="56138"/>
    <n v="43.525185"/>
    <n v="-96.358365000000006"/>
    <m/>
    <m/>
    <m/>
    <m/>
    <m/>
    <m/>
    <m/>
    <m/>
    <s v="South"/>
    <x v="7"/>
  </r>
  <r>
    <x v="29"/>
    <d v="2025-05-06T00:00:00"/>
    <x v="929"/>
    <s v="Minneapolis"/>
    <s v="Hennepin"/>
    <s v="MN"/>
    <s v="Detroit-based Fowling Warehouse plans nearly $1.5 million renovation of an industrial building located at 401 Royalston Ave. N. The 38,690-square-foot facility will feature 21 fowling lanes. Fowling combines football and bowling, with teams competing to knock down pins."/>
    <s v="Other"/>
    <n v="1500000"/>
    <m/>
    <x v="0"/>
    <n v="38690"/>
    <x v="108"/>
    <x v="5"/>
    <s v="https://www.bizjournals.com/twincities/news/2025/05/06/fowling-warehouse-game-center-north-loop.html"/>
    <s v="Minneapolis-Saint Paul Business Journal"/>
    <s v="401 Royalston Ave. N. "/>
    <n v="55405"/>
    <n v="44.981741999999997"/>
    <n v="-93.284255000000002"/>
    <m/>
    <m/>
    <m/>
    <m/>
    <m/>
    <m/>
    <m/>
    <m/>
    <s v="Metro"/>
    <x v="7"/>
  </r>
  <r>
    <x v="29"/>
    <d v="2025-05-07T00:00:00"/>
    <x v="930"/>
    <s v="Stillwater"/>
    <s v="Washington"/>
    <s v="MN"/>
    <s v="HealthPartners' $400 million Lakeview Hospital project  in Stillwater was approved. Construction is expected to begin by the end of May 2025 on 64-acre site near Highway 36. The project will include a six-story building with more than 400,000 square feet of space, nearly twice as big as the current Lakeview Hospital. The new hospital is expected to open in late 2027 or early 2028."/>
    <m/>
    <n v="400000000"/>
    <m/>
    <x v="0"/>
    <n v="400000"/>
    <x v="0"/>
    <x v="24"/>
    <s v="https://www.bizjournals.com/twincities/news/2025/05/07/healthpartners-lakeview-campus-stillwater-approval.html"/>
    <s v="Minneapolis-Saint Paul Business Journal"/>
    <s v="927 Churchill St W"/>
    <n v="55082"/>
    <n v="45.047108999999999"/>
    <n v="-92.818701000000004"/>
    <m/>
    <m/>
    <m/>
    <m/>
    <m/>
    <m/>
    <m/>
    <m/>
    <s v="Metro"/>
    <x v="7"/>
  </r>
  <r>
    <x v="29"/>
    <d v="2025-05-09T00:00:00"/>
    <x v="931"/>
    <s v="St. Cloud"/>
    <s v="Stearns"/>
    <s v="MN"/>
    <s v="Arctic Cat plans to expand its workforce at its engine facility in St. Cloud."/>
    <m/>
    <m/>
    <m/>
    <x v="0"/>
    <m/>
    <x v="54"/>
    <x v="1"/>
    <s v="https://tcbmag.com/arctic-cats-new-owner-to-rehire-about-500/"/>
    <s v="Twin Cities Business "/>
    <s v="6801 Glenn Carlson Dr, "/>
    <n v="56301"/>
    <n v="45.463672000000003"/>
    <n v="-94.122744999999995"/>
    <m/>
    <m/>
    <m/>
    <m/>
    <m/>
    <m/>
    <m/>
    <m/>
    <s v="Central"/>
    <x v="7"/>
  </r>
  <r>
    <x v="29"/>
    <d v="2025-05-09T00:00:00"/>
    <x v="932"/>
    <s v="Blaine"/>
    <s v="Anoka"/>
    <s v="MN"/>
    <s v="Waggle, a golf and lifestyle brand, is relocating its headquarters to Blaine to a leased 45,024 square feet commercial space currently under construction. After a 3 year search, Waggle signed with Radisson Road Business Center and will move from its current 30,000-square-foot headquarters in Roseville. The business center is expected to be competed in October 2025.  The new space includes 10,000 square feet for offices, 27,000 square feet for a warehouse and a 2,300-square-foot retail shop. _x000a_ "/>
    <s v="DW, HQ, OF"/>
    <m/>
    <m/>
    <x v="0"/>
    <n v="15024"/>
    <x v="0"/>
    <x v="8"/>
    <s v="https://www.bizjournals.com/twincities/news/2025/05/09/waggle-new-headquarters-blaine.html"/>
    <s v="Minneapolis-Saint Paul Business Journal"/>
    <s v="3100 101st Avenue NE"/>
    <n v="55449"/>
    <n v="45.152712999999999"/>
    <n v="-93.191660999999996"/>
    <m/>
    <m/>
    <m/>
    <m/>
    <m/>
    <m/>
    <m/>
    <m/>
    <s v="Metro"/>
    <x v="7"/>
  </r>
  <r>
    <x v="29"/>
    <d v="2025-05-12T00:00:00"/>
    <x v="933"/>
    <s v="Minneapolis"/>
    <s v="Hennepin"/>
    <s v="MN"/>
    <s v="The new $1 billion 500,000-square-foot surgical care center at Abbott Northwestern will feature 30 ORs and 192 beds. Allina Health broke ground on the project in October 2023 is on schedule for completion in June 2026. After a move-in process, the facility will open in late August 2026. The care center project is part of a larger $1.5 billion expansion. Funding was boosted in 2023 by a $25 million donation from the Richard M. Schulze Family Foundation."/>
    <m/>
    <n v="1000000000"/>
    <m/>
    <x v="0"/>
    <n v="500000"/>
    <x v="0"/>
    <x v="24"/>
    <s v="https://finance-commerce.com/2025/05/abbott-northwestern-surgical-center-construction/"/>
    <s v="Finance &amp; Commerce"/>
    <s v="800 E. 28th St"/>
    <n v="55407"/>
    <n v="44.954590000000003"/>
    <n v="-93.261315999999994"/>
    <m/>
    <m/>
    <m/>
    <m/>
    <m/>
    <m/>
    <m/>
    <m/>
    <s v="Metro"/>
    <x v="7"/>
  </r>
  <r>
    <x v="29"/>
    <d v="2025-05-12T00:00:00"/>
    <x v="934"/>
    <s v="Maple Grove"/>
    <s v="Hennepin"/>
    <s v="MN"/>
    <s v="Nikon subsidiary Avonix Imaging leased 80,000 square feet at the Maple Grove Industrial Center. Avonix will consolidate two locations and expand production and sales. The company plans to hire 20 more employees within a year.The newly leased facility will consolidate the two locations, which together had spanned 31,700 square feet. The company plans to move into their new space by July.  Avonix Imaging Inc manufactures industrial X-ray and CT scanning systems. "/>
    <s v="MF"/>
    <m/>
    <n v="20"/>
    <x v="0"/>
    <n v="48300"/>
    <x v="109"/>
    <x v="1"/>
    <s v="https://www.bizjournals.com/twincities/news/2025/05/12/nikon-avonix-maple-grove-industrial-manufacturing.html"/>
    <s v="Minneapolis-Saint Paul Business Journal"/>
    <s v="11601 93rd Ave N"/>
    <n v="55369"/>
    <n v="45.123876000000003"/>
    <n v="-93.428032000000002"/>
    <m/>
    <m/>
    <m/>
    <m/>
    <m/>
    <m/>
    <m/>
    <m/>
    <s v="Metro"/>
    <x v="7"/>
  </r>
  <r>
    <x v="29"/>
    <d v="2025-05-15T00:00:00"/>
    <x v="60"/>
    <s v="Stewartville"/>
    <s v="Olmsted"/>
    <s v="MN"/>
    <s v="Amazon.com acquired 23 acres of land near the Rochester International Airport for $2.5 million to open a last-mile delivery center. The vacant site had been annexed into the city of Stewartville. Ryan Cos. is developing the project, called Project Tiger, with an 83,900-square-foot building on the site. "/>
    <s v="DW"/>
    <m/>
    <m/>
    <x v="0"/>
    <n v="83900"/>
    <x v="0"/>
    <x v="8"/>
    <s v="https://www.bizjournals.com/twincities/news/2025/05/15/amazon-buys-land-for-warehouse-near-rochester.html"/>
    <s v="Minneapolis-Saint Paul Business Journal"/>
    <m/>
    <n v="55976"/>
    <n v="43.884346000000001"/>
    <n v="-92.503743999999998"/>
    <m/>
    <m/>
    <m/>
    <m/>
    <m/>
    <m/>
    <m/>
    <m/>
    <s v="South"/>
    <x v="7"/>
  </r>
  <r>
    <x v="29"/>
    <d v="2025-05-16T00:00:00"/>
    <x v="935"/>
    <s v="St. Peter"/>
    <s v="Nicollet"/>
    <s v="MN"/>
    <s v="Veterinary Pharmaceutical Solutions celebrated their expansion that nearly doubling the company's presence in St. Peter, as well as their 30 year history. Customers could tour the newly opened 8,400-square-foot expansion to VPS' facility. The expansion features additional compound bays, warehouse space and R&amp;D facilities. The expansion was driven by the company's growing line of veterinary medicines. "/>
    <s v="MF"/>
    <m/>
    <m/>
    <x v="0"/>
    <n v="8400"/>
    <x v="28"/>
    <x v="1"/>
    <s v="https://infoweb.newsbank.com/apps/news/document-view?p=NewsBank&amp;docref=news/1A09A9BA79DB0518&amp;f=basic"/>
    <s v="Post Bulletin (via Newsbank)"/>
    <s v="2008 Sunrise Dr"/>
    <n v="56082"/>
    <n v="44.353884999999998"/>
    <n v="-93.971697000000006"/>
    <m/>
    <m/>
    <m/>
    <m/>
    <m/>
    <m/>
    <m/>
    <m/>
    <s v="South"/>
    <x v="7"/>
  </r>
  <r>
    <x v="29"/>
    <d v="2025-05-19T00:00:00"/>
    <x v="936"/>
    <s v="Eagan"/>
    <s v="Dakota"/>
    <s v="MN"/>
    <s v="Ecolab plans to renovate existing facilities, expand research and development lab facilities, construct a 82,200 sqft addition to house a new customer experience center, and purchase equipment” at the company’s Schuman campus at 655 Lone Oak Drive.  The project will retain 797 jobs in Eagan, as well as create 5 new jobs. Ecolab is seeking state assistance for the project via a Minnesota Forward Fund application. "/>
    <s v="MF, RD"/>
    <m/>
    <n v="5"/>
    <x v="31"/>
    <n v="82200"/>
    <x v="28"/>
    <x v="1"/>
    <s v="https://finance-commerce.com/2025/05/ecolab-eagan-campus-expansion/"/>
    <s v="Finance &amp; Commerce"/>
    <s v="655 Lone Oak Dr"/>
    <n v="55121"/>
    <n v="44.852012999999999"/>
    <n v="-93.113997999999995"/>
    <m/>
    <m/>
    <m/>
    <m/>
    <m/>
    <m/>
    <m/>
    <m/>
    <s v="Metro"/>
    <x v="7"/>
  </r>
  <r>
    <x v="29"/>
    <d v="2025-05-20T00:00:00"/>
    <x v="60"/>
    <s v="Duluth"/>
    <s v="St. Louis"/>
    <s v="MN"/>
    <s v="Amazon opened the doors of its new local delivery station to the public for the first time and showed off the inside of its 55,000-square-foot facility. The company employs about 80 people at the center, but that could grow by 50%, to around 120 workers. Amazon has seen strong local interest in its employment opportunities which have a starting wage of $18.45."/>
    <m/>
    <m/>
    <n v="40"/>
    <x v="0"/>
    <m/>
    <x v="0"/>
    <x v="8"/>
    <s v="https://www.duluthnewstribune.com/business/amazon-hiring-as-it-ramps-up-work-at-first-duluth-facility"/>
    <s v="Duluth News Tribune"/>
    <m/>
    <n v="55801"/>
    <n v="47.005566000000002"/>
    <n v="-92.001934000000006"/>
    <m/>
    <m/>
    <m/>
    <m/>
    <m/>
    <m/>
    <m/>
    <m/>
    <s v="Metro"/>
    <x v="7"/>
  </r>
  <r>
    <x v="29"/>
    <d v="2025-05-22T00:00:00"/>
    <x v="937"/>
    <s v="Mankato"/>
    <s v="Blue Earth"/>
    <s v="MN"/>
    <s v="Mankato-based logistics company Volk Transfer Co. has acquired a 300,000-square-foot distribution center to become its new corporate headquarters and operations base.  The building will undergo a full office renovation, as well as other updates; and will expand Volk's operational capacity. Volk Transfer currently resides in a 50,000-square-foot space elsewhere in Mankato where it has operated since 2011. Volk will maintain ownership of that space."/>
    <s v="HQ, DW"/>
    <m/>
    <m/>
    <x v="0"/>
    <n v="300000"/>
    <x v="0"/>
    <x v="3"/>
    <s v="https://www.bizjournals.com/twincities/news/2025/05/22/volk-transfer-buys-300-000-sq-ft-headquarters.html"/>
    <s v="Minneapolis-Saint Paul Business Journal"/>
    <s v="2415 Third Ave.,"/>
    <n v="56001"/>
    <n v="44.193548"/>
    <n v="-93.994432000000003"/>
    <m/>
    <m/>
    <m/>
    <m/>
    <m/>
    <m/>
    <m/>
    <m/>
    <s v="South"/>
    <x v="7"/>
  </r>
  <r>
    <x v="29"/>
    <d v="2025-05-23T00:00:00"/>
    <x v="938"/>
    <s v="Owatonna"/>
    <s v="Steele"/>
    <s v="MN"/>
    <s v="Daikin continues to expand in the Owatonna-Faribault area year after year, providing jobs in the local community and streamlining the manufacturing process. A new building for Daikin in Owatonna has opened, which will help create 50 new jobs over the next year. This new building is behind the larger Daikin warehouse in Owatonna's industrial park and will allow Daikin to insource component manufacturing and relocate coil production from their main plant. "/>
    <m/>
    <m/>
    <n v="50"/>
    <x v="0"/>
    <m/>
    <x v="4"/>
    <x v="1"/>
    <s v="https://infoweb.newsbank.com/apps/news/document-view?p=NewsBank&amp;docref=news/1A0C6C15E19B7C30&amp;f=basic"/>
    <s v="Owatonna People's Press (via Newbank)"/>
    <m/>
    <n v="55060"/>
    <n v="44.047612999999998"/>
    <n v="-93.223724000000004"/>
    <m/>
    <m/>
    <m/>
    <m/>
    <m/>
    <m/>
    <m/>
    <m/>
    <s v="South"/>
    <x v="7"/>
  </r>
  <r>
    <x v="29"/>
    <d v="2025-05-23T00:00:00"/>
    <x v="939"/>
    <s v="White Bear Lake"/>
    <s v="Ramsey"/>
    <s v="MN"/>
    <s v="Endeavor Development plans to break ground this month on a 100,000-square-foot corporate headquarters for Nextera Packaging, a food packaging company. The build-to-suit property's  construction is expected to be completed and Nextera's move-in are slated for spring 2026. Nextera would relocate its HQ from Vadnais Heights. The new facility will support Nextera's growth and expansion in the region. The 47-person company provides food packaging products, including custom services."/>
    <s v="HQ"/>
    <m/>
    <m/>
    <x v="0"/>
    <n v="100000"/>
    <x v="110"/>
    <x v="15"/>
    <s v="https://www.bizjournals.com/twincities/news/2025/05/23/endeavor-food-package-headquarters-white-bear.html"/>
    <s v="Minneapolis-Saint Paul Business Journal"/>
    <s v="5300 Centerville Road, "/>
    <n v="55127"/>
    <n v="45.101851000000003"/>
    <n v="-93.053562999999997"/>
    <m/>
    <m/>
    <m/>
    <m/>
    <m/>
    <m/>
    <m/>
    <m/>
    <s v="Metro"/>
    <x v="7"/>
  </r>
  <r>
    <x v="29"/>
    <d v="2025-06-02T00:00:00"/>
    <x v="60"/>
    <s v="Grand Rapids"/>
    <s v="St. Louis"/>
    <s v="MN"/>
    <s v="Amazon plans to build a new 41,000-square-foot delivery station in Grand Rapids. No specific employment plans were released but Amazon delivery stations generally employ 150-200 people._x000a_Grand Rapids is a regional hub for economic growth in Itasca County, and gaining an Amazon delivery station will provide additional job growth to the area and contribute significantly to the tax base of the community. Construction began earlier this month, but launch plans are in the very early stages."/>
    <s v="DW"/>
    <m/>
    <m/>
    <x v="0"/>
    <n v="41000"/>
    <x v="0"/>
    <x v="8"/>
    <s v="https://www.kaxe.org/local-news/2025-05-29/amazon-delivery-station-to-be-built-in-grand-rapids"/>
    <s v="KAXE"/>
    <s v=" 3000 Southeast 6th Ave. "/>
    <n v="55746"/>
    <n v="47.415213999999999"/>
    <n v="-92.934774000000004"/>
    <m/>
    <m/>
    <m/>
    <m/>
    <s v="Amazon"/>
    <s v="Seattle"/>
    <s v="Washington"/>
    <m/>
    <s v="North"/>
    <x v="7"/>
  </r>
  <r>
    <x v="29"/>
    <d v="2025-06-04T00:00:00"/>
    <x v="940"/>
    <s v="Solway"/>
    <s v="Beltrami"/>
    <s v="MN"/>
    <s v="West Fraser US EWP LLC (NAICS 321219) is looking to expand in Solway, Beltrami County, Minnesota. West Fraser makes sustainable wood products across more than 50 facilities in North America and Europe. Its products are widely used in construction, renovation, manufacturing, and packaging. The total project cost is $137 million which covers renovations to an existing building and purchasing new machinery and equipment. The company expects to retain 132 jobs in Solway._x000a_DEED Awards: JCF $1.08 million"/>
    <s v="MF"/>
    <n v="137000000"/>
    <m/>
    <x v="32"/>
    <m/>
    <x v="24"/>
    <x v="1"/>
    <s v="https://mn.gov/deed/about/meetings-events/public-meetings.jsp?trumbaEmbed=view%3Devent%26eventid%3D183431706"/>
    <s v="DEED"/>
    <s v="4409 Northwood Rd NW"/>
    <n v="56678"/>
    <n v="47.511102000000001"/>
    <n v="-95.076801000000003"/>
    <s v="Government"/>
    <s v="JCF"/>
    <n v="1077535"/>
    <m/>
    <m/>
    <m/>
    <m/>
    <m/>
    <s v="North"/>
    <x v="7"/>
  </r>
  <r>
    <x v="29"/>
    <d v="2025-06-05T00:00:00"/>
    <x v="941"/>
    <s v="St Joseph"/>
    <s v="Stearns"/>
    <s v="MN"/>
    <s v="A $20 million business expansion is underway at cabinetry manufacturer Hansen &amp; Co. Woodworks and which is largely led by automation. The new technology will drive higher productivity and wages for employees. The $13 million new machines are inside a newly built 100,000-square-foot manufacturing facility. The company's 60 employees make cabinets and other products that are sold to general contractors in Minnesota.  He brought in machinery from Italy and Germany, where furniture manufacturing is lightyears ahead."/>
    <s v="MF"/>
    <n v="20000000"/>
    <m/>
    <x v="0"/>
    <n v="100000"/>
    <x v="24"/>
    <x v="1"/>
    <s v="https://www.bizjournals.com/twincities/inno/stories/news/2025/06/05/hansen-company-woodworks-st-joseph.html"/>
    <s v="Minneapolis-Saint Paul Business Journal"/>
    <s v="30701 Pearl Dr Suite #3"/>
    <n v="56374"/>
    <n v="45.569350999999997"/>
    <n v="-94.275408999999996"/>
    <m/>
    <m/>
    <m/>
    <m/>
    <m/>
    <m/>
    <m/>
    <m/>
    <s v="Central"/>
    <x v="7"/>
  </r>
  <r>
    <x v="29"/>
    <d v="2025-06-05T00:00:00"/>
    <x v="942"/>
    <s v="Albertville"/>
    <s v="Wright"/>
    <s v="MN"/>
    <s v="A new tax increment financing district over nine years has been approved for Mold-Tech, Inc., a move that will help the mold-making company fund a significant expansion at their business in Albertville. TIF will fund about $323,000 for the project. The Albertville City Council unanimously approved the request noting that  Mold-Tech might otherwise expand elsewhere. Mold-Tech's will build a 16,800 sqft addition and a 4,700 sqft mezzanine to increase production capacity."/>
    <s v="MF"/>
    <m/>
    <n v="5"/>
    <x v="0"/>
    <n v="21500"/>
    <x v="57"/>
    <x v="1"/>
    <s v="https://infoweb.newsbank.com/apps/news/document-view?p=NewsBank&amp;docref=news/1A10B771A7961050&amp;f=basic"/>
    <s v="Crow River News (via Newsbank)"/>
    <s v="5166 Barthel Industrial Drive NE."/>
    <n v="55301"/>
    <n v="45.228341"/>
    <n v="-93.644715000000005"/>
    <s v="Government"/>
    <s v="TIF"/>
    <n v="322728"/>
    <m/>
    <m/>
    <m/>
    <m/>
    <m/>
    <s v="Central"/>
    <x v="7"/>
  </r>
  <r>
    <x v="29"/>
    <d v="2025-06-12T00:00:00"/>
    <x v="943"/>
    <s v="Minneapolis"/>
    <s v="Hennepin"/>
    <s v="MN"/>
    <s v="Associated Banc-Corp (NYSE: ASB) is moving its local headquarters in downtown Minneapolis. The Green Bay, Wisconsin-based bank is leasing the entire 43rd floor of IDS Center - about 25,000 square feet - roughly twice the size of its current space at PWC Plaza. Construction is expected to start in August and Associated plans to relocate about 100 employees to the new space next spring. Minneapolis is a priority market for Associated Bank."/>
    <s v="HQ, OF"/>
    <m/>
    <m/>
    <x v="0"/>
    <n v="12500"/>
    <x v="50"/>
    <x v="6"/>
    <s v="https://www.bizjournals.com/twincities/news/2025/06/12/associated-bank-ids-center-local-headquartres.html"/>
    <s v="Minneapolis-Saint Paul Business Journal"/>
    <s v="80 S. Eighth St"/>
    <n v="55402"/>
    <n v="44.975909999999999"/>
    <n v="-93.272099999999995"/>
    <m/>
    <m/>
    <m/>
    <m/>
    <m/>
    <m/>
    <m/>
    <m/>
    <s v="Metro"/>
    <x v="7"/>
  </r>
  <r>
    <x v="29"/>
    <d v="2025-06-12T00:00:00"/>
    <x v="907"/>
    <s v="Arden Hills"/>
    <s v="Ramsey"/>
    <s v="MN"/>
    <s v="Intricon Corp plans to invest a total of $30M in automation, and plans to boost robotics team over five years. Medical technology maker Intricon Corp. has spent nearly $20 million since ramping up automation in its manufacturing systems in the past couple of years. Over the next three years, the Arden Hills company plans to spend another $10 million on robotics and other technology and expects to more than double its robotics team of currently more than 20. Intricon has over 700 employees, and over 500 are local. "/>
    <m/>
    <n v="30000000"/>
    <n v="20"/>
    <x v="0"/>
    <m/>
    <x v="11"/>
    <x v="1"/>
    <s v="https://www.bizjournals.com/twincities/news/2025/06/12/intricon-arden-hills-automation.html"/>
    <s v="Minneapolis-Saint Paul Business Journal"/>
    <s v="1275 Grey Fox Road"/>
    <n v="55112"/>
    <n v="45.055141999999996"/>
    <n v="-93.155147999999997"/>
    <m/>
    <m/>
    <m/>
    <m/>
    <m/>
    <m/>
    <m/>
    <m/>
    <s v="Metro"/>
    <x v="7"/>
  </r>
  <r>
    <x v="29"/>
    <d v="2025-06-17T00:00:00"/>
    <x v="944"/>
    <s v="Rochester"/>
    <s v="Olmsted"/>
    <s v="MN"/>
    <s v="Kreofsky Building Supplies is planning a significant expansion at its Rochester location as they have outgrown their current facility. They plan to expand their 6,400-square-foot Rochester center to 9,800 square feet; and to build a new 10,500-square-foot warehouse, next door to the showroom. The project will remodel offices and create a larger showroom. KBS carries building supplies such as lumber, plywood, windows, doors, and millwork. They expect to complete and move into the updated facilities in early 2026."/>
    <s v="DW, OF"/>
    <m/>
    <m/>
    <x v="0"/>
    <n v="13900"/>
    <x v="111"/>
    <x v="10"/>
    <s v="https://infoweb.newsbank.com/apps/news/document-view?p=NewsBank&amp;docref=news/1A14741871F0B2D0&amp;f=basic"/>
    <s v="Post Bulletin (via Newsbank)"/>
    <s v="3731 Enterprise Drive SW"/>
    <n v="55902"/>
    <n v="43.966921999999997"/>
    <n v="-92.466876999999997"/>
    <m/>
    <m/>
    <m/>
    <m/>
    <m/>
    <m/>
    <m/>
    <m/>
    <s v="South"/>
    <x v="7"/>
  </r>
  <r>
    <x v="29"/>
    <d v="2025-06-17T00:00:00"/>
    <x v="945"/>
    <s v="Inver Grove Heights"/>
    <s v="Dakota"/>
    <s v="MN"/>
    <s v="Renovations to turn a suburban office warehouse into cold storage for the property seller have paid off to the tune of $8.6 million. The buyer is So Good So You, a growing Minneapolis producer of organic cold-pressed juice shots."/>
    <s v="DW"/>
    <n v="8600000"/>
    <m/>
    <x v="0"/>
    <m/>
    <x v="39"/>
    <x v="1"/>
    <s v="https://finance-commerce.com/2025/06/cold-storage-sale-inver-grove-so-good-so-you/"/>
    <s v="Finance &amp; Commerce"/>
    <s v="6085 Claude Way, #100, "/>
    <n v="55076"/>
    <n v="44.860501999999997"/>
    <n v="-93.039316999999997"/>
    <m/>
    <m/>
    <m/>
    <m/>
    <m/>
    <m/>
    <m/>
    <m/>
    <s v="Metro"/>
    <x v="7"/>
  </r>
  <r>
    <x v="29"/>
    <d v="2025-06-20T00:00:00"/>
    <x v="946"/>
    <s v="Amboy"/>
    <s v="Blue Earth"/>
    <s v="MN"/>
    <s v="The city of Amboy was awarded $831,800 from BDPI to assist in constructing steets and utilities for a vacant lot where Grover Farm Trucking will be expanding. Grover Farm Trucking plans to invest $3.5 million into a new 30,000 sf warehouse and 22,000 sf distribution center. Grover now employs 30 people full time but plans to add 5 new FTEs within one year and 25 in five years. The city will match the award to cover the total public infrastructure project cost of $1.6 million."/>
    <s v="DW"/>
    <n v="3500000"/>
    <n v="30"/>
    <x v="0"/>
    <n v="52000"/>
    <x v="0"/>
    <x v="3"/>
    <m/>
    <s v="DEED"/>
    <s v="11661 529th Avenue"/>
    <n v="56010"/>
    <n v="43.893642"/>
    <n v="-94.157951999999995"/>
    <s v="Government"/>
    <s v="BDPI (to Amboy)"/>
    <n v="831800"/>
    <m/>
    <m/>
    <m/>
    <m/>
    <m/>
    <s v="South"/>
    <x v="7"/>
  </r>
  <r>
    <x v="29"/>
    <d v="2025-06-22T00:00:00"/>
    <x v="318"/>
    <s v="Olivia"/>
    <s v="Renville"/>
    <s v="MN"/>
    <s v="Beck's Hybrids is developing a three-building, connected facility totaling about 96,000 square feet. Renville County Commisssioners approved tax abatement of up to $149,999 for Beck's $28 million expansion near Olivia, Minnesota. It was noted that the company could have moved its expansion out of the county.  The new facility includes a warehouse, cold storage, and an expanded site for Beck's Practical Farm Research program which employs 20 people.  Completion is expected in spring 2026. The project will create 4 new full-time jobs and many part-time jobs."/>
    <s v="DW, OF"/>
    <n v="28000000"/>
    <n v="4"/>
    <x v="11"/>
    <n v="96000"/>
    <x v="112"/>
    <x v="10"/>
    <s v="https://infoweb.newsbank.com/apps/news/document-view?p=NewsBank&amp;docref=news/1A162FF2DDFE2D48&amp;f=basic"/>
    <s v="West Central Tribune (via Newsbank)"/>
    <m/>
    <n v="56277"/>
    <n v="44.760342999999999"/>
    <n v="-95.032640999999998"/>
    <m/>
    <m/>
    <m/>
    <m/>
    <m/>
    <m/>
    <m/>
    <m/>
    <s v="Central"/>
    <x v="7"/>
  </r>
  <r>
    <x v="29"/>
    <d v="2025-06-26T00:00:00"/>
    <x v="841"/>
    <s v="North Branch"/>
    <s v="Chisago"/>
    <s v="MN"/>
    <s v="DEED awarded the city of North Branch $1,050,860 to support street and utility construction in the city’s 200-acre, multi-phased Interstate Business Park. The project will immediately provide infrastructure for two businesses: LEI Packaging, which currently has 15 full-time jobs in Chisago City and is building a new, larger $5 million facility in North Branch, with plans to add 25 to 50 more workers in the next five years. The second business is Stepp Manufacturing."/>
    <s v="MF"/>
    <n v="5000000"/>
    <n v="50"/>
    <x v="0"/>
    <m/>
    <x v="67"/>
    <x v="1"/>
    <s v="https://mn.gov/deed/newscenter/press-releases/?id=694560"/>
    <s v="DEED"/>
    <s v="6408 Elm Street "/>
    <n v="55056"/>
    <n v="45.512663000000003"/>
    <n v="-92.978496000000007"/>
    <s v="Government"/>
    <s v="BDPI (to North Branch)"/>
    <n v="1050860"/>
    <m/>
    <m/>
    <m/>
    <m/>
    <m/>
    <s v="Central"/>
    <x v="7"/>
  </r>
  <r>
    <x v="29"/>
    <d v="2025-06-26T00:00:00"/>
    <x v="947"/>
    <s v="Paynesville"/>
    <s v="Stearns"/>
    <s v="MN"/>
    <s v="Louis Industries Inc. (NAICS 332618) plans to expand in Paynesville. Louis Industries, Inc. is one of the most modern steel processing facilities in the Upper Midwest. The planned expansion increases Louis' capacity and capability in laser cutting, punching, forming, welding, and finishing. The $7.8 million project expands their facility by 42,000 square feet, for manufacturing and offices.  The company expects to create 15 jobs within the first 2 years. _x000a_DEED Awards: JCF $175K, MIF $325K"/>
    <s v="MF, OF"/>
    <n v="7759833"/>
    <n v="15"/>
    <x v="0"/>
    <n v="42000"/>
    <x v="27"/>
    <x v="1"/>
    <s v="https://cms2.revize.com/revize/cityofpaynesville/min%2005-27-25%20Council.pdf"/>
    <s v="City of Paynesville"/>
    <s v="222 Industrial Loop St W"/>
    <n v="56362"/>
    <n v="45.385015000000003"/>
    <n v="-94.705899000000002"/>
    <s v="Government"/>
    <s v="JCF $175K, MIF $325K"/>
    <n v="500000"/>
    <m/>
    <m/>
    <m/>
    <m/>
    <m/>
    <s v="Central"/>
    <x v="7"/>
  </r>
  <r>
    <x v="29"/>
    <d v="2025-06-26T00:00:00"/>
    <x v="948"/>
    <s v="North Branch"/>
    <s v="Chisago"/>
    <s v="MN"/>
    <s v="DEED awarded the city of North Branch $1,050,860 to support street and utility construction in the city’s 200-acre, multi-phased Interstate Business Park. The project will immediately provide infrastructure for two businesses. Stepp Manufacturing, currently headquartered in a different North Branch location with 71 full-time employees, with plans to invest $9.5 million in a new facility and add 25 to 50 employees in the next five years. The second business is LEI Packaging."/>
    <s v="MF"/>
    <n v="9500000"/>
    <n v="50"/>
    <x v="0"/>
    <m/>
    <x v="4"/>
    <x v="1"/>
    <s v="https://mn.gov/deed/newscenter/press-releases/?id=694560"/>
    <s v="DEED"/>
    <s v="6408 Elm Street "/>
    <n v="55056"/>
    <n v="45.512663000000003"/>
    <n v="-92.978496000000007"/>
    <s v="Government"/>
    <s v="BDPI (to North Branch)"/>
    <n v="1050860"/>
    <m/>
    <m/>
    <m/>
    <m/>
    <m/>
    <s v="Central"/>
    <x v="7"/>
  </r>
  <r>
    <x v="29"/>
    <d v="2025-06-27T00:00:00"/>
    <x v="949"/>
    <s v="Blue Earth"/>
    <s v="Faribault"/>
    <s v="MN"/>
    <s v="Winnebago Manufacturing is planning expansion project in the City of Blue Earth involving construction of a 37,000 square foot bulk industrial facility for expanded manufacturing and warehousing. City Council is considering establishing a TIF district, which estimates reimbursing $450,838 over the life of the TIF. Winnebago specializes in custom steel fabrication. The total project cost is $6.5 million and will create 6 FT jobs over the first two years."/>
    <s v="MF, DW"/>
    <n v="6510000"/>
    <n v="6"/>
    <x v="0"/>
    <n v="37000"/>
    <x v="113"/>
    <x v="1"/>
    <s v="https://becity.org/index.php/component/edocman/6-30-25-special-meeting-minutes/viewdocument/905?Itemid=0"/>
    <s v="City of Blue Earth"/>
    <s v="870 Welk Dr"/>
    <n v="56013"/>
    <n v="43.647919000000002"/>
    <n v="-94.126543999999996"/>
    <s v="Government"/>
    <s v="City of Blue Earth TIF ($450K), JCF"/>
    <n v="570838"/>
    <m/>
    <m/>
    <m/>
    <m/>
    <m/>
    <s v="South"/>
    <x v="7"/>
  </r>
  <r>
    <x v="29"/>
    <d v="2025-06-30T00:00:00"/>
    <x v="950"/>
    <s v="Minnetonka"/>
    <s v="Hennepin"/>
    <s v="MN"/>
    <s v="General Mills finalized the sale of its U.S. yogurt business for $2.1 billion to Lactalis, after 50 years of selling Yoplait. The French dairy giant has opened a Minnetonka office from where the roughly 200 Minnesota-based and remote employees from General Mills will run Lactalis' new Midwest Yogurt division. Lactalis is the world’s largest dairy company and had $35 billion in revenue globally last year. The company plans to invest heavily in innovation and manufacturing for the new brands."/>
    <s v="OF"/>
    <m/>
    <m/>
    <x v="33"/>
    <m/>
    <x v="56"/>
    <x v="1"/>
    <s v="https://www.startribune.com/general-mills-yogurt-yoplait-sale-lactalis-usa-minnetonka-office-gogurt-mountain-high/601384023"/>
    <s v="Minnesota Star Tribune"/>
    <m/>
    <n v="55345"/>
    <n v="44.916963000000003"/>
    <n v="-93.481748999999994"/>
    <m/>
    <m/>
    <m/>
    <m/>
    <m/>
    <m/>
    <m/>
    <m/>
    <s v="Metro"/>
    <x v="7"/>
  </r>
  <r>
    <x v="30"/>
    <d v="2025-07-10T00:00:00"/>
    <x v="815"/>
    <s v="Bloomington"/>
    <s v="Hennepin"/>
    <s v="MN"/>
    <s v="Bloomington Building Permit Reports: Interior office space renovation and associated mechanical and electrical work."/>
    <s v="OF"/>
    <n v="1500000"/>
    <m/>
    <x v="0"/>
    <m/>
    <x v="4"/>
    <x v="1"/>
    <s v="https://www.bloomingtonmn.gov/bldg/permit-status-inspection-results-and-monthly-building-reports"/>
    <s v="City of Bloomington Building Permits"/>
    <s v="1400 W 94TH ST"/>
    <n v="55431"/>
    <n v="44.835098000000002"/>
    <n v="-93.298868999999996"/>
    <m/>
    <m/>
    <m/>
    <m/>
    <m/>
    <m/>
    <m/>
    <m/>
    <s v="Metro"/>
    <x v="7"/>
  </r>
  <r>
    <x v="30"/>
    <d v="2025-07-16T00:00:00"/>
    <x v="951"/>
    <s v="Plymouth"/>
    <s v="Hennepin"/>
    <s v="MN"/>
    <s v="The Jet 6 Tech Center, a 2025-built warehouse in Plymouth, has found itself a tenant in White Cap Supply, a building materials supplier. the 90,000-square-foot Jet 6 Tech Center has eight loading docks with a 28 foot clearing height. The site is visible from Highway 55 creating ease of access to the transit corridor. "/>
    <s v="WD"/>
    <m/>
    <m/>
    <x v="0"/>
    <n v="90000"/>
    <x v="0"/>
    <x v="11"/>
    <s v="https://finance-commerce.com/2025/07/white-cap-lease-jet-6-tech-center-plymouth/"/>
    <s v="Finance &amp; Commerce"/>
    <s v="13135 County Road 6 "/>
    <n v="55441"/>
    <n v="44.997444999999999"/>
    <n v="-93.445288000000005"/>
    <m/>
    <m/>
    <m/>
    <m/>
    <m/>
    <m/>
    <m/>
    <m/>
    <s v="Metro"/>
    <x v="7"/>
  </r>
  <r>
    <x v="30"/>
    <d v="2025-07-17T00:00:00"/>
    <x v="952"/>
    <s v="Duluth"/>
    <s v="St. Louis"/>
    <s v="MN"/>
    <s v="Barr Engineering Co. celebrated their move into a new field office at the Airpark. The new 22,000-square-foot leased space is a significant increase from the company's previous 4,800-square-foot field office. The additional  space enables Barr to expand its engineering and environmental services to numerous public and private clients.  The new space features conference rooms, offices, a lab and a large cooler to hold field samples, as well as equipment and related supplies that support Barr's on-site project work."/>
    <s v="OF"/>
    <m/>
    <m/>
    <x v="0"/>
    <n v="22000"/>
    <x v="75"/>
    <x v="4"/>
    <s v="https://infoweb.newsbank.com/apps/news/document-view?p=NewsBank&amp;docref=news/1A1E8F09C8992C00&amp;f=basic"/>
    <s v="Duluth News Tribune (via NewsBank)"/>
    <s v="4503 Airpark Blvd."/>
    <n v="55811"/>
    <n v="46.833900999999997"/>
    <n v="-92.169833999999994"/>
    <m/>
    <m/>
    <m/>
    <m/>
    <m/>
    <m/>
    <m/>
    <m/>
    <s v="North"/>
    <x v="7"/>
  </r>
  <r>
    <x v="30"/>
    <d v="2025-07-18T00:00:00"/>
    <x v="953"/>
    <s v="Minneapolis"/>
    <s v="Hennepin"/>
    <s v="MN"/>
    <s v="Accounting heavyweight Forvis Mazars opens downtown Minneapolis office, expanding into new market. Company plans to grow local staff by 10-15 annually. Their new 4,200-square-foot office will be located on the ninth floor of the 100 building in the Fifth Street Towers. Forvis Mazars was formed following the 2023 merger announcement by Springfield, Missouri, U.S.-based Forvis and the Paris, France-based Mazars Group.  "/>
    <s v="OF"/>
    <m/>
    <n v="15"/>
    <x v="0"/>
    <n v="4200"/>
    <x v="87"/>
    <x v="4"/>
    <s v="https://www.bizjournals.com/twincities/news/2025/07/18/forvis-mazars-accounting-downtown-minneapolis.html"/>
    <s v="Minneapolis-Saint Paul Business Journal"/>
    <s v="100 South 5th Street "/>
    <n v="55402"/>
    <n v="44.978358"/>
    <n v="-93.268635000000003"/>
    <m/>
    <m/>
    <m/>
    <m/>
    <s v="Forvis (Missouri), Mazars (Paris, France)"/>
    <s v="Springfield MO and Paris "/>
    <s v="MO"/>
    <s v="France"/>
    <s v="Metro"/>
    <x v="7"/>
  </r>
  <r>
    <x v="30"/>
    <d v="2025-07-28T00:00:00"/>
    <x v="954"/>
    <s v="Eagan"/>
    <s v="Dakota"/>
    <s v="MN"/>
    <s v="Arlington, Virginia-based L Leonardo DRS, a defense-technology manufacturer has signed a nearly 50,000-square-foot 10-year lease in Eagan. Leonardo DRS plans to move to the Grand Oak Business Park in Eagan this fall. The company is a subsidiary of Italian defense contractor Leonardo SpA  and will relocate from Burnsville. That facility includes engineering labs which develop technology to support Naval Combat Systems for the Undersea and Surface fleets as well as RF systems development. "/>
    <s v="MF, RD"/>
    <m/>
    <m/>
    <x v="0"/>
    <n v="48563"/>
    <x v="81"/>
    <x v="1"/>
    <s v="https://www.bizjournals.com/twincities/news/2025/07/28/leonardo-drs-defense-tech-eagan-office-lease.html"/>
    <s v="Minneapolis-Saint Paul Business Journal"/>
    <s v="2750 Blue Water Road"/>
    <n v="55121"/>
    <n v="44.856425999999999"/>
    <n v="-93.135559000000001"/>
    <m/>
    <m/>
    <m/>
    <s v="x"/>
    <s v="Leonardo SpA"/>
    <m/>
    <m/>
    <s v="Italy"/>
    <s v="Metro"/>
    <x v="7"/>
  </r>
  <r>
    <x v="30"/>
    <d v="2025-08-04T00:00:00"/>
    <x v="955"/>
    <s v="Caledonia"/>
    <s v="Houston"/>
    <s v="MN"/>
    <s v="Sno Pac Foods plans to build a 30,000-square-foot cold storage facility in Caledonia, near its existing facility. Sno Pac has been operating in the area for over a century and was the world's first grower of organic frozen vegetables. Sno-Pac received $1.57 million through the Resilient Food Systems Infrastructure (RFSI) Program from US Dept of Ag and MN Dept of Ag. RFSI aims to strengthen supply chains for local and regional food systems. Groundbreaking was 9/5/2025."/>
    <s v="MF"/>
    <m/>
    <m/>
    <x v="0"/>
    <n v="30000"/>
    <x v="56"/>
    <x v="1"/>
    <s v="https://fillmorecountyjournal.com/sno-pac-foods-to-expand-facilities-in-caledonia/#:~:text=August%204%2C%202025%20by%20Charlene,item%20moved%20to%20new%20business."/>
    <s v="Fillmore County Journal"/>
    <s v="521 Enterprise Drive"/>
    <n v="55921"/>
    <n v="43.625745000000002"/>
    <n v="-91.503474999999995"/>
    <s v="Government"/>
    <s v="USDA/MDA"/>
    <n v="1572500"/>
    <m/>
    <m/>
    <m/>
    <m/>
    <m/>
    <s v="South"/>
    <x v="7"/>
  </r>
  <r>
    <x v="30"/>
    <d v="2025-08-06T00:00:00"/>
    <x v="956"/>
    <s v="Maple Grove"/>
    <s v="Hennepin"/>
    <s v="MN"/>
    <s v="Bora Pharmaceuticals, based in Taiwan, is one of the global leaders in pharmaceutical manufacturing. Bora is planning a 100,000 sqft addition to its facility in Maple Grove and a purchase of new roller compactor equipment. Bora acquired generic drug maker Upsher-Smith and its Maple Grove manufacturing facility last year. Growth is due to a surging demand for drugs in pill or capsule form — known in the industry as “oral solid dosage” or OSD. "/>
    <s v="MF"/>
    <m/>
    <m/>
    <x v="0"/>
    <n v="100000"/>
    <x v="11"/>
    <x v="1"/>
    <s v="https://ccxmedia.org/news/bora-pharmaceuticals-announces-major-expansion-of-maple-grove-plant/"/>
    <m/>
    <s v="6701 Evenstad Dr N"/>
    <n v="55369"/>
    <n v="45.075557000000003"/>
    <n v="-93.443561000000003"/>
    <m/>
    <m/>
    <m/>
    <m/>
    <s v="Bora Pharmaceuticals"/>
    <m/>
    <m/>
    <s v="Taiwan"/>
    <s v="Metro"/>
    <x v="7"/>
  </r>
  <r>
    <x v="30"/>
    <d v="2025-08-11T00:00:00"/>
    <x v="957"/>
    <s v="Dayton"/>
    <s v="Hennepin"/>
    <s v="MN"/>
    <s v="Maple Grove-based Daedex, a national custom data center cooling equipment manufacturer and subsidiary of MAS HVAC, has signed a long-term lease for 503,440 square feet at The Cubes at French Lake. Daedex's lease affirms commitment to supplying U.S. data center industry. Daedex provides custom energy-recovery, air-movement and heat-exchange solutions for large, commercial air conditioning equipment."/>
    <s v="MF"/>
    <m/>
    <m/>
    <x v="0"/>
    <n v="503440"/>
    <x v="4"/>
    <x v="1"/>
    <s v="https://www.bizjournals.com/twincities/news/2025/08/11/daedex-mas-hvac-data-center-dayton-development.html"/>
    <s v="Minneapolis-Saint Paul Business Journal"/>
    <s v="11500 Lawndale Ave"/>
    <n v="55369"/>
    <n v="45.164065999999998"/>
    <n v="-93.504248000000004"/>
    <m/>
    <m/>
    <m/>
    <m/>
    <m/>
    <m/>
    <m/>
    <m/>
    <s v="Metro"/>
    <x v="7"/>
  </r>
  <r>
    <x v="30"/>
    <d v="2025-08-11T00:00:00"/>
    <x v="958"/>
    <s v="Delano"/>
    <s v="Wright"/>
    <s v="MN"/>
    <s v="Trelleborg Medical Solutions announces the significant expansion of its Innovation Center in Minnesota. The Innovation Center will be relocated from Plymouth to a new purpose-built space in nearby Delano comprising over 45,000 square feet. The former location will be remodeled to expand to 6,000 square feet. New construction will house a visitor center and new additional high-end Swiss machining, injection molding and increased space for the automation laboratory.  The project will start in spring 2026 and be completed in early 2027."/>
    <s v="MF, RD, Other"/>
    <m/>
    <m/>
    <x v="0"/>
    <n v="45000"/>
    <x v="11"/>
    <x v="1"/>
    <s v="https://www.medicaldesignandoutsourcing.com/trelleborg-delano-innovation-center-expansion/"/>
    <m/>
    <s v="740 7th St S"/>
    <n v="55328"/>
    <n v="45.029739999999997"/>
    <n v="-93.781066999999993"/>
    <m/>
    <m/>
    <m/>
    <m/>
    <m/>
    <m/>
    <m/>
    <m/>
    <s v="Central"/>
    <x v="7"/>
  </r>
  <r>
    <x v="30"/>
    <d v="2025-08-12T00:00:00"/>
    <x v="959"/>
    <s v="Eagan"/>
    <s v="Dakota"/>
    <s v="MN"/>
    <s v="Centra purchased a 10-acre site in Eagan for $17 million where it plans to operate a 150,000-square-foot data center in an existing building. Construction to retrofit the building for its own  data center has begun. Centra's 12-megawatt data center “will serve as a critical hub for seamless, high-performance connectivity in the Midwest.” The facility offers colocation and is carrier neutral.  Centra expects to open the Eagan facility in the second quarter of 2026."/>
    <s v="DC"/>
    <m/>
    <m/>
    <x v="0"/>
    <n v="150000"/>
    <x v="102"/>
    <x v="9"/>
    <s v="https://www.bizjournals.com/twincities/news/2025/08/12/centra-data-center-thomson-reuters-eagan-site.html"/>
    <s v="Minneapolis-Saint Paul Business Journal"/>
    <s v="610 Opperman Drive."/>
    <n v="55123"/>
    <n v="44.828963999999999"/>
    <n v="-93.117845000000003"/>
    <m/>
    <m/>
    <m/>
    <m/>
    <m/>
    <m/>
    <m/>
    <m/>
    <s v="Metro"/>
    <x v="7"/>
  </r>
  <r>
    <x v="30"/>
    <d v="2025-08-18T00:00:00"/>
    <x v="713"/>
    <s v="Randolph"/>
    <s v="Dakota"/>
    <s v="MN"/>
    <s v="Cambria, the countertop company, is building an $80 million quartz processing plant and rail center in Dakota County in order to relocate some operations from Canada. The new 10-story 61,000 square foot quartz crushing plant will employ 300 construction workers, and will create 50 to 70 permanent workers. Construction is already underway. The move consolidates processing operations and saves millions at a time when sales are down and tariff costs are up. Cambria will still import quartz from its mines in Quebec because Canadian quartz is mostly free of iron and highly translucent, unlike quartz sourced in the U.S."/>
    <s v="MF"/>
    <n v="80000000"/>
    <n v="70"/>
    <x v="0"/>
    <n v="61000"/>
    <x v="105"/>
    <x v="1"/>
    <s v="https://www.startribune.com/cambria-quartz-new-factory-minnesota-reshoring-canadian-operations-struggling-industry/601454082"/>
    <m/>
    <s v=" Co Rd 86"/>
    <n v="55065"/>
    <n v="44.529608000000003"/>
    <n v="-93.007329999999996"/>
    <m/>
    <m/>
    <m/>
    <m/>
    <m/>
    <m/>
    <m/>
    <m/>
    <s v="Metro"/>
    <x v="7"/>
  </r>
  <r>
    <x v="30"/>
    <d v="2025-08-19T00:00:00"/>
    <x v="960"/>
    <s v="St. Louis Park"/>
    <s v="Hennepin"/>
    <s v="MN"/>
    <s v="First Supply, a construction-supply distributor, is moving to St. Louis Park. First Supply is a family-owned wholesaler that sells HVAC, plumbing, lighting, septic and other supplies. The outpost will have a roughly 5,200-square-foot showroom and a nearly 12,000-square-foot warehouse. It’s slated to open sometime next month. The new branch will be about 2,500 square feet larger than the Champlin location."/>
    <s v="WD, Retail"/>
    <m/>
    <m/>
    <x v="0"/>
    <n v="2500"/>
    <x v="0"/>
    <x v="10"/>
    <s v="https://www.bizjournals.com/twincities/news/2025/08/19/first-supply-st-louis-park-champlin-move.html"/>
    <s v="Minneapolis-Saint Paul Business Journal"/>
    <s v="7003 W. Lake St."/>
    <n v="55426"/>
    <n v="44.936880000000002"/>
    <n v="-93.365470999999999"/>
    <m/>
    <m/>
    <m/>
    <m/>
    <s v="First Supply"/>
    <s v="Madison"/>
    <s v="WI"/>
    <s v="US"/>
    <s v="Metro"/>
    <x v="7"/>
  </r>
  <r>
    <x v="30"/>
    <d v="2025-08-21T00:00:00"/>
    <x v="961"/>
    <s v="Bloomington"/>
    <s v="Hennepin"/>
    <s v="MN"/>
    <s v="Bloomington Building Permit Reports. Building renovations, including new offices and storage area."/>
    <s v="DW, OF"/>
    <n v="1760000"/>
    <m/>
    <x v="0"/>
    <m/>
    <x v="0"/>
    <x v="10"/>
    <s v="https://www.bloomingtonmn.gov/bldg/permit-status-inspection-results-and-monthly-building-reports"/>
    <s v="City of Bloomington Building Permits"/>
    <s v="2201 W 94TH ST"/>
    <n v="55431"/>
    <n v="44.832811"/>
    <n v="-93.307772"/>
    <m/>
    <m/>
    <m/>
    <m/>
    <m/>
    <m/>
    <m/>
    <m/>
    <s v="Metro"/>
    <x v="7"/>
  </r>
  <r>
    <x v="30"/>
    <d v="2025-08-25T00:00:00"/>
    <x v="815"/>
    <s v="Bloomington"/>
    <s v="Hennepin"/>
    <s v="MN"/>
    <s v="Bloomington Building Permit Reports: Renovation of interior office space, restrooms and associated mechanical and electrical work on the first floor."/>
    <s v="OF"/>
    <n v="550000"/>
    <m/>
    <x v="0"/>
    <m/>
    <x v="4"/>
    <x v="1"/>
    <s v="https://www.bloomingtonmn.gov/bldg/permit-status-inspection-results-and-monthly-building-reports"/>
    <s v="City of Bloomington Building Permits"/>
    <s v="9301 JAMES AVE S"/>
    <n v="55431"/>
    <n v="44.835754000000001"/>
    <n v="-93.299835000000002"/>
    <m/>
    <m/>
    <m/>
    <m/>
    <m/>
    <m/>
    <m/>
    <m/>
    <s v="Metro"/>
    <x v="7"/>
  </r>
  <r>
    <x v="30"/>
    <d v="2025-08-26T00:00:00"/>
    <x v="962"/>
    <s v="Golden Valley"/>
    <s v="Hennepin"/>
    <s v="MN"/>
    <s v="General Mills is building a $54 million pilot plant in Golden Valley, adding much-needed space to put new products on shelves faster. The 35,000-square-foot, two-story addition to the  James Ford Bell Technical Center adds to an increasingly cramped technical center that houses about 1,000 employees just north of the company’s main headquarters. The project will add 20% to existing pilot plant space to help test small runs of new and updated products, and require new production and technical employees."/>
    <s v="RD"/>
    <n v="54000000"/>
    <m/>
    <x v="0"/>
    <n v="35000"/>
    <x v="56"/>
    <x v="1"/>
    <s v="https://www.businesswire.com/news/home/20250826338622/en/General-Mills-Invests-%2454-Million-in-Expansion-of-James-Ford-Bell-Technical-Center"/>
    <s v="Business Wire"/>
    <s v="9000 Plymouth Ave. N"/>
    <n v="55427"/>
    <n v="44.993982000000003"/>
    <n v="-93.392893000000001"/>
    <m/>
    <m/>
    <m/>
    <m/>
    <m/>
    <m/>
    <m/>
    <m/>
    <s v="Metro"/>
    <x v="7"/>
  </r>
  <r>
    <x v="30"/>
    <d v="2025-08-26T00:00:00"/>
    <x v="963"/>
    <s v="Fridley"/>
    <s v="Hennepin"/>
    <s v="MN"/>
    <s v="Mortenson is investing in its R&amp;D with a new space in Fridley. The “BLUlabs” facility features 40,000 square feet to support real-world testing, prototyping and product development.  The space is outfitted equipment such as 3D printers, CAD equipment and software, CNC machines and a plasma cutting table. Mortenson had previously leased 15,000 square feet for R&amp;D but quickly outgrew it. Mortenson Properties owns the new property with Hyde Development and invested about $700,000 to build out the space."/>
    <s v="RD"/>
    <n v="700000"/>
    <m/>
    <x v="0"/>
    <n v="40000"/>
    <x v="0"/>
    <x v="11"/>
    <s v="https://finance-commerce.com/2025/08/mortenson-fridley-innovation-lab-construction-rd/"/>
    <s v="Finance &amp; Commerce"/>
    <s v="5101 Industrial Blvd NE #400 "/>
    <n v="55421"/>
    <n v="45.061709999999998"/>
    <n v="-93.274825000000007"/>
    <m/>
    <m/>
    <m/>
    <m/>
    <m/>
    <m/>
    <m/>
    <m/>
    <s v="Metro"/>
    <x v="7"/>
  </r>
  <r>
    <x v="30"/>
    <d v="2025-08-26T00:00:00"/>
    <x v="964"/>
    <s v="St. Cloud"/>
    <s v="Stearns"/>
    <s v="MN"/>
    <s v="St Cloud Building Permit Reports, August 2025: Address 1922 7th St N. St Cloud. Rengel Printing (per their website and Google search) is at this address. 40' x 120' building addition (4800 sq ft footprint) with loading dock. New addition is for warehouse."/>
    <s v="DW"/>
    <n v="297000"/>
    <m/>
    <x v="0"/>
    <n v="4800"/>
    <x v="42"/>
    <x v="1"/>
    <s v="chrome-extension://efaidnbmnnnibpcajpcglclefindmkaj/https://www.ci.stcloud.mn.us/DocumentCenter/View/29637/August-2025"/>
    <m/>
    <s v="1922 7th St N"/>
    <n v="56303"/>
    <n v="45.564377"/>
    <n v="-94.180659000000006"/>
    <m/>
    <m/>
    <m/>
    <m/>
    <m/>
    <m/>
    <m/>
    <m/>
    <s v="Central"/>
    <x v="7"/>
  </r>
  <r>
    <x v="30"/>
    <d v="2025-08-26T00:00:00"/>
    <x v="965"/>
    <s v="Chanhassen"/>
    <s v="Carver"/>
    <s v="MN"/>
    <s v="A Spring Park company known for producing rooftop safety rails has purchased a Chanhassen warehouse with the intent of using it as its new manufacturing facility. The Chanhassen warehouse was bought by Safety Rail Co. in a $12.8 million transaction. Safety Rail was looking for a larger space to expand."/>
    <s v="MF"/>
    <n v="12800000"/>
    <m/>
    <x v="0"/>
    <n v="151630"/>
    <x v="113"/>
    <x v="1"/>
    <s v="https://finance-commerce.com/2025/08/safety-rail-chanhassen-warehouse-purchase/"/>
    <s v="Finance &amp; Commerce"/>
    <s v="1000 Park Road"/>
    <n v="55317"/>
    <n v="44.860877000000002"/>
    <n v="-93.549944999999994"/>
    <m/>
    <m/>
    <m/>
    <m/>
    <m/>
    <m/>
    <m/>
    <m/>
    <s v="Metro"/>
    <x v="7"/>
  </r>
  <r>
    <x v="30"/>
    <d v="2025-08-27T00:00:00"/>
    <x v="966"/>
    <s v="Litchfield"/>
    <s v="Meeker"/>
    <s v="MN"/>
    <s v="Vanguard Renewables LLC of Weston, MA, plans to construct a large anaerobic digestion facility on land leased from the Wagner Family Dairy, in Litchfield.The digester will process manure and organic food wastes abd produce renewable natural gas that will be injected into a CenterPoint natural gas line - and that is expected to heat 1,600 homes each year. The MPCA found no significant environmental impacts from the project, which is Vanguard's second biodigester in Meeker County. Its other digester is near Eden Valley."/>
    <s v="MF"/>
    <m/>
    <m/>
    <x v="0"/>
    <m/>
    <x v="114"/>
    <x v="17"/>
    <s v="https://infoweb.newsbank.com/apps/news/document-view?p=NewsBank&amp;docref=news/1A2C0ED3A2B256E8&amp;f=basic"/>
    <m/>
    <m/>
    <n v="55355"/>
    <n v="45.122737000000001"/>
    <n v="-94.529860999999997"/>
    <m/>
    <m/>
    <m/>
    <m/>
    <s v="Vanguard Renewables"/>
    <m/>
    <s v="Massachusetts"/>
    <m/>
    <s v="Central"/>
    <x v="7"/>
  </r>
  <r>
    <x v="30"/>
    <d v="2025-09-04T00:00:00"/>
    <x v="783"/>
    <s v="Blaine"/>
    <s v="Anoka"/>
    <s v="MN"/>
    <s v="NVent will add a new production facility in Blaine. The company makes electrical enclosures and liquid cooling equipment for electronics. NVent will lease 117,000 square feet of space in Blaine to boost production. The site will employ 175 people, is expected to go online in early 2026. The new facility will make liquid cooling products for the data center and power utility industries. "/>
    <s v="MF"/>
    <m/>
    <n v="175"/>
    <x v="0"/>
    <n v="117000"/>
    <x v="7"/>
    <x v="1"/>
    <s v="https://www.bizjournals.com/twincities/news/2025/09/04/nvent-adds-blaine-manufacturing-space.html"/>
    <s v="Minneapolis-Saint Paul Business Journal"/>
    <m/>
    <n v="55449"/>
    <n v="45.166673000000003"/>
    <n v="-93.210860999999994"/>
    <m/>
    <m/>
    <m/>
    <m/>
    <m/>
    <m/>
    <m/>
    <m/>
    <s v="Metro"/>
    <x v="7"/>
  </r>
  <r>
    <x v="30"/>
    <d v="2025-09-09T00:00:00"/>
    <x v="909"/>
    <s v="Glencoe"/>
    <s v="McLeod"/>
    <s v="MN"/>
    <s v="Miller Manufacturing is a manufacturer and distributor of farm, ranch and pet products, such as animal feed buckets, containers and other various supply tools. Miller acquired Lixit Animal Care Products, expanding into small-pets category. Lixit is relocating its operations to Miller's facilities in Glencoe, Minnesota. Miller plans to hire 30 more for the Lixit expansion. "/>
    <m/>
    <m/>
    <n v="30"/>
    <x v="0"/>
    <m/>
    <x v="80"/>
    <x v="1"/>
    <s v="https://www.bizjournals.com/twincities/news/2025/09/09/miller-manufacturing-acquires-lixit-animal-care-pr.html"/>
    <s v="Minneapolis-Saint Paul Business Journal"/>
    <s v="1400 13th St W"/>
    <n v="55336"/>
    <n v="44.77514"/>
    <n v="-94.180915999999996"/>
    <m/>
    <m/>
    <m/>
    <m/>
    <m/>
    <m/>
    <m/>
    <m/>
    <s v="Central"/>
    <x v="7"/>
  </r>
  <r>
    <x v="30"/>
    <d v="2025-09-10T00:00:00"/>
    <x v="967"/>
    <s v="Faribault"/>
    <s v="Rice"/>
    <s v="MN"/>
    <s v="A proposed data center in Faribault has cleared the environmental review process and is up for the next round of city approvals. The planned Archer Datacenters Faribault Campus project calls for  500,000 square feet of data center buildings to an 84.3-acre site south of 150th Street West and east of Acorn Trail.  A deciding factor in the site location was the collaborative approach to power procurement that we are undertaking with Steele-Waseca Co-op Electric and Great River Energy."/>
    <s v="DC"/>
    <m/>
    <m/>
    <x v="0"/>
    <n v="500000"/>
    <x v="102"/>
    <x v="9"/>
    <s v="https://finance-commerce.com/2025/09/faribault-data-center-twin-cities-growth/"/>
    <s v="Finance &amp; Commerce"/>
    <s v="15339 Acorn Trail"/>
    <n v="55021"/>
    <n v="44.365589999999997"/>
    <n v="-93.286861000000002"/>
    <m/>
    <m/>
    <m/>
    <m/>
    <m/>
    <m/>
    <m/>
    <m/>
    <s v="South"/>
    <x v="7"/>
  </r>
  <r>
    <x v="30"/>
    <d v="2025-09-15T00:00:00"/>
    <x v="968"/>
    <s v="Chaska"/>
    <s v="Carver"/>
    <s v="MN"/>
    <s v="Marotta Controls, based in New Jersey, develops and manufactures innovative systems and sub-systems for the aerospace and defense sectors. At their Chaska location, they manufacture small high-performance motors. Marotta is looking to expand their Chaska facility to include Rapid Prototyping capabilities and increase production capacity to build all their motor needs in-house. Marotta plans to invest nearly $5 million and create 35 new full-time jobs within three years."/>
    <m/>
    <n v="5000000"/>
    <n v="35"/>
    <x v="0"/>
    <m/>
    <x v="4"/>
    <x v="1"/>
    <s v="https://chaskamn.portal.civicclerk.com/event/904/files/attachment/5249 (key dates: 10/6/25 and 0/15/25)"/>
    <s v="City of Chaska"/>
    <s v="3650 N Chestnut St"/>
    <n v="55318"/>
    <n v="44.842331000000001"/>
    <n v="-93.598613"/>
    <s v="Government"/>
    <s v="MIF $220K"/>
    <n v="220000"/>
    <m/>
    <s v="Marotta Controls"/>
    <s v="Boonton"/>
    <s v="New Jersey"/>
    <m/>
    <s v="Metro"/>
    <x v="7"/>
  </r>
  <r>
    <x v="30"/>
    <d v="2025-09-17T00:00:00"/>
    <x v="969"/>
    <s v="Minneapolis"/>
    <s v="Hennepin"/>
    <s v="MN"/>
    <s v="Dairy company Kemps has signed a 15-year lease to occupy an over 8-acre site that will be a distribution hub in Minneapolis. When purchased by the previous owner (Zenith), the site had included a 40,000-square-foot building on the northern part of the site and an over 20,000-square-foot warehouse on the southern portion. Zenith retrofitted the yard and existing building in the northern part of the site for Kemps. Kemps began moving into the site earlier this month. The facility will support Kemps’ nearby bottling facility."/>
    <s v="DW"/>
    <m/>
    <m/>
    <x v="0"/>
    <n v="61610"/>
    <x v="56"/>
    <x v="1"/>
    <s v="https://www.bizjournals.com/twincities/news/2025/09/17/kemps-lease-dairy-north-minneapolis-river-site.html"/>
    <s v="Minneapolis-Saint Paul Business Journal"/>
    <s v="3018 Pacific St. N"/>
    <n v="55411"/>
    <n v="45.011637"/>
    <n v="-93.276315999999994"/>
    <m/>
    <m/>
    <m/>
    <m/>
    <m/>
    <m/>
    <m/>
    <m/>
    <s v="Metro"/>
    <x v="7"/>
  </r>
  <r>
    <x v="30"/>
    <d v="2025-09-18T00:00:00"/>
    <x v="970"/>
    <s v="St. Joseph"/>
    <s v="Stearns"/>
    <s v="MN"/>
    <s v="An indoor cannabis cultivation facility is slated to join St. Joseph's business community. If the proposal gets state approval as expected,  the facility could open as early as December. The St. Joseph City Council unanimously approved a conditional use permit for Green Cross to open a cannabis cultivation facility. Green Cross is expected to rent 3,300 square feet of the building. The cultivation facility plans to serve customers in Minneapolis. Two employees will run the facility."/>
    <s v="Other"/>
    <m/>
    <n v="2"/>
    <x v="0"/>
    <n v="3300"/>
    <x v="0"/>
    <x v="14"/>
    <s v="https://www.proquest.com/docview/3251561126?accountid=45111&amp;parentSessionId=bLUSg2LlXjRvsEgxL1Y2udlkIkTanJ8WL0WuVvlZKuc%3D&amp;sourcetype=Newspapers"/>
    <m/>
    <s v="417 First Ave. NE."/>
    <n v="56374"/>
    <n v="45.569094999999997"/>
    <n v="-94.317179999999993"/>
    <m/>
    <m/>
    <m/>
    <m/>
    <m/>
    <m/>
    <m/>
    <m/>
    <s v="Central"/>
    <x v="7"/>
  </r>
  <r>
    <x v="30"/>
    <d v="2025-09-19T00:00:00"/>
    <x v="971"/>
    <s v="Wabasha"/>
    <s v="Wabasha"/>
    <s v="MN"/>
    <s v="City of Wabasha is constructing a gravel access road to a newly constructed barge terminal. The port will allow both the Army Corps of Engineers to remove dredged sand from the Mississippi River and Kohner’s Sand and Gravel to pick up the sand and haul it away for sale and reuse. The project retains 15 jobs and creates 10 new jobs. The project will cost $6 million, with the city covering the remaining costs. Kohner’s will also be investing in a modest field house._x000a_DEED BDPI award: $748,788 to City of Wabasha"/>
    <m/>
    <n v="6000000"/>
    <n v="10"/>
    <x v="10"/>
    <m/>
    <x v="115"/>
    <x v="23"/>
    <s v="n/a"/>
    <s v="DEED"/>
    <s v="905 Church Ave, "/>
    <n v="55981"/>
    <n v="44.376733000000002"/>
    <n v="-92.043097000000003"/>
    <s v="Government"/>
    <s v="BDPI"/>
    <n v="748788"/>
    <m/>
    <m/>
    <m/>
    <m/>
    <m/>
    <s v="South"/>
    <x v="7"/>
  </r>
  <r>
    <x v="30"/>
    <d v="2025-09-26T00:00:00"/>
    <x v="972"/>
    <s v="Ramsey"/>
    <s v="Anoka"/>
    <s v="MN"/>
    <s v="Zero Zone manufactures high-performance refrigeration systems. The proposed project would expand their facility by adding 40,000 square feet of production space and 18,000 square feet of office and lab testing areas. The total project cost is $11,000,000 for new construction and site improvements, as well as new machinery and equipment. The company expects to create 55 jobs within the first 3 years. DEED awards: $350K MIF. $450K JCF. City of Ramsey is considering providing $360,000 via TIF."/>
    <s v="MF, OF, RD"/>
    <n v="11000000"/>
    <n v="55"/>
    <x v="0"/>
    <n v="58000"/>
    <x v="4"/>
    <x v="1"/>
    <s v="https://destinyhosted.com/agenda_publish.cfm?id=72673&amp;mt=ALL&amp;vl=true&amp;get_month=9&amp;get_year=2025&amp;dsp=agm&amp;seq=16438&amp;rev=0&amp;ag=23460&amp;ln=68292&amp;nseq=16482&amp;nrev=0&amp;pseq=16478&amp;prev=0&amp;vl=true#ReturnTo68292"/>
    <s v="City of Ramsey, DEED"/>
    <s v="6151 140th Ave NW"/>
    <n v="55303"/>
    <n v="45.225788000000001"/>
    <n v="-93.421735999999996"/>
    <s v="Government"/>
    <s v="MIF $350K, JCF $450K, TIF $360K (maybe)"/>
    <n v="800000"/>
    <m/>
    <m/>
    <m/>
    <m/>
    <m/>
    <s v="Metro"/>
    <x v="7"/>
  </r>
  <r>
    <x v="30"/>
    <d v="2025-09-30T00:00:00"/>
    <x v="973"/>
    <s v="Albertville"/>
    <s v="Wright"/>
    <s v="MN"/>
    <s v=" Advanced Volumetric Alliance (AVA) has been growing and is adding another 28 new jobs. AVAOP, LLC, located in Albertville, is a modular off-site building manufacturer. The company combines a modular, panelized, structural insulated panels, with site-built methods. This fully integrated process allows for faster, more cost-effective project delivery. Their training program for 28 new hires will focus on manufacturing operations and building skills. DEED awarded AVA a $200,000 JTIP training grant."/>
    <m/>
    <m/>
    <n v="28"/>
    <x v="0"/>
    <m/>
    <x v="60"/>
    <x v="1"/>
    <s v="n/a"/>
    <s v="DEED"/>
    <s v="6757 Karmen Ave NE"/>
    <n v="55301"/>
    <n v="45.249630000000003"/>
    <n v="-93.680611999999996"/>
    <s v="Government"/>
    <s v="JTIP"/>
    <n v="200000"/>
    <m/>
    <m/>
    <m/>
    <m/>
    <m/>
    <s v="Central"/>
    <x v="7"/>
  </r>
  <r>
    <x v="30"/>
    <d v="2025-09-30T00:00:00"/>
    <x v="974"/>
    <s v="Shakopee"/>
    <s v="Scott"/>
    <s v="MN"/>
    <s v="Ramsey/Washington Recycling &amp; Energy and Dem-Con HZI BioEnergy, the project’s partners, plan to break ground in November 2025 on a $92 million new facility that will process up to 75,000 tons of organic waste each year. The public-private partnership involves Dem-Con building the facility and Ramsey/Washington Recycling and Energy providing the “feed stock&quot; (i.e. household food waste). This facility will produce renewable natural gas (“RNG”) and biochar. To help pay for the new facility, received $10M from DEED's Minnesota Forward Fund."/>
    <s v="MF"/>
    <n v="92037000"/>
    <n v="12"/>
    <x v="34"/>
    <m/>
    <x v="116"/>
    <x v="17"/>
    <s v="https://finance-commerce.com/2025/09/scott-county-food-waste-recycling-facility/"/>
    <s v="Finance &amp; Commerce"/>
    <s v=" 13020 Dem-Con Drive"/>
    <n v="55379"/>
    <n v="44.768566"/>
    <n v="-93.58202"/>
    <s v="Government"/>
    <s v="MFF $10M"/>
    <n v="10000000"/>
    <s v="Yes"/>
    <s v="Kanadevia Inova"/>
    <s v="Zurich"/>
    <m/>
    <s v="Switzerland"/>
    <s v="Metro"/>
    <x v="7"/>
  </r>
  <r>
    <x v="31"/>
    <d v="2025-10-01T00:00:00"/>
    <x v="975"/>
    <s v="Bloomington"/>
    <s v="Hennepin"/>
    <s v="MN"/>
    <s v="All Flex Solutions manufactures printed circuits for industries such as medical, defense, aerospace, semiconductor and telecommunications. Based on the building permit description, their construction project involves renovations to their space. No structural work to be done as a part of this project."/>
    <s v="OF"/>
    <n v="385000"/>
    <m/>
    <x v="0"/>
    <m/>
    <x v="7"/>
    <x v="1"/>
    <s v="https://www.bloomingtonmn.gov/bldg/permit-status-inspection-results-monthly-building-reports"/>
    <s v="City of Bloomington Building Permits"/>
    <s v="9401 JAMES AVE S"/>
    <n v="55431"/>
    <n v="44.832588999999999"/>
    <n v="-93.299898999999996"/>
    <m/>
    <m/>
    <m/>
    <m/>
    <m/>
    <m/>
    <m/>
    <m/>
    <s v="Metro"/>
    <x v="7"/>
  </r>
  <r>
    <x v="31"/>
    <d v="2025-10-01T00:00:00"/>
    <x v="976"/>
    <s v="Merrifield"/>
    <s v="Crow Wing"/>
    <s v="MN"/>
    <s v="Clow Stamping Company, based in Merrifield, is a metal stamping and metal components manufacturer. Clow hired 50 new workers to meet increased demand. Clow Stamping's training program, spanning 17 courses, will build leadership capacity, close technical skill gaps, and help retain their workforce. MJSP Grant Award of $398,595 to their partner Anoka Ramsey Community College to train 373 employees, which includes 50 new hires. Project Period: Oct. 2025-Oct 2027. "/>
    <m/>
    <n v="1448968"/>
    <n v="50"/>
    <x v="0"/>
    <m/>
    <x v="4"/>
    <x v="1"/>
    <s v="n/a"/>
    <s v="DEED"/>
    <s v="23103 Co Rd 3"/>
    <n v="56464"/>
    <n v="46.486713999999999"/>
    <n v="-94.158045999999999"/>
    <s v="Government"/>
    <s v="MJSP"/>
    <n v="398595"/>
    <m/>
    <m/>
    <m/>
    <m/>
    <m/>
    <s v="Central"/>
    <x v="7"/>
  </r>
  <r>
    <x v="31"/>
    <d v="2025-10-02T00:00:00"/>
    <x v="94"/>
    <s v="Windom"/>
    <s v="Cottonwood"/>
    <s v="MN"/>
    <s v="The city of Windom and its EDA presented a $1M check to Iowa Premium Pork. DEED is administering this part-grant, part-loan appropriation. Premium Iowa Pork invested significantly to renovate 165,000 sqft of the 227,000-sqft Windom facility before opening it in April 2025. The company plans to create of 70 full-time jobs at the Windom facility and retain them over a five-year period.  The Windom facility does further processing of pork into grinds, smokehouse and case-ready products. "/>
    <s v="MF"/>
    <m/>
    <n v="70"/>
    <x v="0"/>
    <n v="227000"/>
    <x v="56"/>
    <x v="1"/>
    <s v="https://www.dglobe.com/news/local/windom-presents-1-million-to-premium-iowa-pork?__vfz=medium%3Dsharebar"/>
    <s v="The Globe"/>
    <s v="2850 Hwy 60 E"/>
    <n v="56101"/>
    <n v="43.885317000000001"/>
    <n v="-95.100649000000004"/>
    <s v="Government"/>
    <s v="SPAP ($1M)"/>
    <n v="1000000"/>
    <m/>
    <m/>
    <m/>
    <m/>
    <m/>
    <s v="South"/>
    <x v="7"/>
  </r>
  <r>
    <x v="31"/>
    <d v="2025-10-03T00:00:00"/>
    <x v="977"/>
    <s v="Minneapolis"/>
    <s v="Hennepin"/>
    <s v="MN"/>
    <s v="New York-based marketing firm Stagwell Inc. is leasing 50,000 square feet on floors two through four in Minneapolis' Wheelhouse building. It’s unclear if Stagwell previously had an office presence in the Twin Cities. The Minnesota Twins launched a shared augmented reality platform at Target Field in 2022; a platform that was developed by ARound, which is part of Stagwell."/>
    <s v="OF"/>
    <m/>
    <m/>
    <x v="0"/>
    <n v="50000"/>
    <x v="87"/>
    <x v="4"/>
    <s v="https://www.bizjournals.com/twincities/news/2025/10/03/north-loop-office-lease-stagwell-wheelhouse-tenant.html"/>
    <s v="Minneapolis-Saint Paul Business Journal"/>
    <s v="250 Third Ave. N."/>
    <n v="55401"/>
    <n v="44.983995"/>
    <n v="-93.273785000000004"/>
    <m/>
    <m/>
    <m/>
    <m/>
    <s v="Stagwell"/>
    <s v="New York"/>
    <s v="New York"/>
    <m/>
    <s v="Metro"/>
    <x v="7"/>
  </r>
  <r>
    <x v="31"/>
    <d v="2025-10-06T00:00:00"/>
    <x v="978"/>
    <s v="Bemidji"/>
    <s v="Beltrami"/>
    <s v="MN"/>
    <s v="AirCorps Aviation, based in Bemidji, is planning to construct and improve their facility. The project will create 14 new jobs and retain 68 existing jobs in Minnesota. The expansion will invest about $1 million for site improvements and new construction. The company specializes in the restoration, maintenance, and rebuilding of vintage World War II aircraft, as well as providing other aerospace services. _x000a_DEED's JCF award of $175K."/>
    <m/>
    <n v="986000"/>
    <n v="14"/>
    <x v="35"/>
    <m/>
    <x v="5"/>
    <x v="5"/>
    <s v="https://bemidjimn.portal.civicclerk.com/event/78/files/agenda/364"/>
    <s v="City of Bemiji"/>
    <s v="1180 Adams NW"/>
    <n v="56601"/>
    <n v="47.479869999999998"/>
    <n v="-94.926568000000003"/>
    <s v="Government"/>
    <s v="JCF $175K"/>
    <n v="175000"/>
    <m/>
    <m/>
    <m/>
    <m/>
    <m/>
    <s v="North"/>
    <x v="7"/>
  </r>
  <r>
    <x v="31"/>
    <d v="2025-10-08T00:00:00"/>
    <x v="979"/>
    <s v="Edina"/>
    <s v="Hennepin"/>
    <s v="MN"/>
    <s v="Women’s fashion retailer Evereve is setting a multiyear plan in motion to triple its revenues. Evereve’s headquarters now occupies the 7th floor (20,000 sq ft) of an office building at 6800 France Ave. The company’s expansion to the 6th floor will double its footpring. Constructionat the Edina office began last week and is expected to be complete in December 2025. The company employs about 110 corporate employees and hopes reach over 200 in the next six years. "/>
    <s v="HQ"/>
    <m/>
    <n v="90"/>
    <x v="0"/>
    <n v="20000"/>
    <x v="0"/>
    <x v="8"/>
    <s v="https://www.bizjournals.com/twincities/news/2025/10/08/evereve-expanding-edina-headquarters.html"/>
    <s v="Minneapolis-Saint Paul Business Journal"/>
    <s v="6800 France Ave"/>
    <n v="55435"/>
    <n v="44.88015"/>
    <n v="-93.330647999999997"/>
    <m/>
    <m/>
    <m/>
    <m/>
    <m/>
    <m/>
    <m/>
    <m/>
    <s v="Metro"/>
    <x v="7"/>
  </r>
  <r>
    <x v="31"/>
    <d v="2025-10-08T00:00:00"/>
    <x v="980"/>
    <s v="South St Paul"/>
    <s v="Dakota"/>
    <s v="MN"/>
    <s v="Long Cheng, a meat processor, is planning to expand operations by relocating to a newly constructed facility. In addition to meat processing, Long Cheng envisions creating a wholesale marketplace. The total project costs for relocation into a new 32,600 square foot facility are estimated at $7 million of which up to $5.99M will be funded by a direct legislative appropriation. The project will retain 13 jobs and create 6 new jobs over the next 3 years."/>
    <s v="DW, MF"/>
    <n v="7000000"/>
    <n v="6"/>
    <x v="36"/>
    <n v="32600"/>
    <x v="56"/>
    <x v="1"/>
    <s v="n/a"/>
    <s v="DEED"/>
    <s v="South Concord St"/>
    <n v="55075"/>
    <n v="44.864185999999997"/>
    <n v="-93.023275999999996"/>
    <s v="Government"/>
    <s v="SPAP ($5.99M, tentative), seeking $ from TCCP"/>
    <m/>
    <m/>
    <m/>
    <m/>
    <m/>
    <m/>
    <s v="Metro"/>
    <x v="7"/>
  </r>
  <r>
    <x v="31"/>
    <d v="2025-10-09T00:00:00"/>
    <x v="981"/>
    <s v="Winona"/>
    <s v="Winona"/>
    <s v="MN"/>
    <s v="Winona's OZ Lifting Products moved to 1213 Innovation Drive in March. The new facility was extensively renovated. One-eighth of the facility is office space. The facility houses engineering, component testing, R&amp;D, assembly, finished product testing, and inventory control. The building offers about 40,000 square feet, much larger than its former space of 15,000 square feet. _x000a_The new location allows for all of the business' products to be stored under one roof."/>
    <s v="DW, MF, OF"/>
    <m/>
    <m/>
    <x v="0"/>
    <n v="25000"/>
    <x v="4"/>
    <x v="1"/>
    <s v="https://www.ozliftingproducts.com/open-house-oz-lifting-showcases-gleaming-new-facility/"/>
    <s v="Company website"/>
    <s v="1213 Innovation Drive"/>
    <n v="55987"/>
    <n v="44.031494000000002"/>
    <n v="-91.611677"/>
    <m/>
    <m/>
    <m/>
    <m/>
    <m/>
    <m/>
    <m/>
    <m/>
    <s v="South"/>
    <x v="7"/>
  </r>
  <r>
    <x v="31"/>
    <d v="2025-10-14T00:00:00"/>
    <x v="982"/>
    <s v="Eagan"/>
    <s v="Dakota"/>
    <s v="MN"/>
    <s v="Buske Logistics, an Edwardsville, Illinois-based logistics company, signed a long term lease to occupy the entire 100,000-square-foot building at 2985 Commers. Buske now has three locations in the Twin Cities, including two in Eagan. It's unclear whether this latest lease represents an additional location or a consolidation for Buske."/>
    <s v="DW"/>
    <m/>
    <m/>
    <x v="0"/>
    <n v="100000"/>
    <x v="0"/>
    <x v="3"/>
    <s v="https://www.bizjournals.com/twincities/news/2025/10/14/hempel-buske-eagan-industrial-tenant-twin-cities.html"/>
    <s v="Minneapolis-Saint Paul Business Journal"/>
    <s v="2985 Commers"/>
    <n v="55121"/>
    <n v="44.848806000000003"/>
    <n v="-93.130172000000002"/>
    <m/>
    <m/>
    <m/>
    <m/>
    <m/>
    <m/>
    <m/>
    <m/>
    <s v="Metro"/>
    <x v="7"/>
  </r>
  <r>
    <x v="31"/>
    <d v="2025-10-15T00:00:00"/>
    <x v="983"/>
    <s v="Rosemount"/>
    <s v="Dakota"/>
    <s v="MN"/>
    <s v="EGA Spectro Alloys is embarking on phase two of its recycling expansion. The project will add about 100 million pounds of annual billet recycling capacity, nearly doubling Spectro's billet capacity. The project is expected to be completed in 2027. Phase two – located within the same plant – also includes an additional scrap melting furnace with automated charging, stirring and skimming, and a homogenizer. EGA Spectro Alloys is 80% owned by Emirates Global Aluminium,"/>
    <s v="MF"/>
    <m/>
    <m/>
    <x v="0"/>
    <m/>
    <x v="59"/>
    <x v="1"/>
    <s v="https://www.spectroalloys.com/en/news/ega-spectro-alloys-launches-recycling-expansion"/>
    <s v="Company website"/>
    <s v="13220 Doyle Path"/>
    <n v="55068"/>
    <n v="44.757466000000001"/>
    <n v="-93.010676000000004"/>
    <m/>
    <m/>
    <m/>
    <m/>
    <m/>
    <m/>
    <m/>
    <m/>
    <s v="Metro"/>
    <x v="7"/>
  </r>
  <r>
    <x v="31"/>
    <d v="2025-10-17T00:00:00"/>
    <x v="984"/>
    <s v="Minneapolis"/>
    <s v="Hennepin"/>
    <s v="MN"/>
    <s v="Consulting firm Egon Zehnder has opened a downtown Minneapolis office, marking the Swiss company's 13th U.S. location - and therefore will move from its space at the Life Time Work. Egon Zehnder specializes in organizational consulting and leadership advisory services. Egon plans to hire about four more consultants and a number of other positions. The new office will serve both Minneapolis and St. Paul, as well as the broader Midwest."/>
    <s v="OF"/>
    <m/>
    <n v="4"/>
    <x v="0"/>
    <m/>
    <x v="87"/>
    <x v="4"/>
    <s v="https://www.bizjournals.com/twincities/news/2025/10/17/egon-zehnder-minneapolis-office.html"/>
    <s v="Minneapolis-Saint Paul Business Journal"/>
    <s v="30 South 9th St, 7th Floor"/>
    <n v="55402"/>
    <n v="44.97589"/>
    <n v="-93.276512999999994"/>
    <m/>
    <m/>
    <m/>
    <s v="x"/>
    <s v="Egon Zehnder"/>
    <m/>
    <m/>
    <s v="Switzerland"/>
    <s v="Metro"/>
    <x v="7"/>
  </r>
  <r>
    <x v="31"/>
    <d v="2025-10-17T00:00:00"/>
    <x v="985"/>
    <s v="St Cloud"/>
    <s v="Stearns"/>
    <s v="MN"/>
    <s v="Precision Optics offers capabilities in design, prototype, and manufacture optical imaging systems and components. A building permit for its address (although the business was not named in the report) describes planned construction of a 2,840 sqft addition to the existing office area and remodeling of the existing office area. "/>
    <s v="OF"/>
    <n v="2300000"/>
    <m/>
    <x v="0"/>
    <n v="2840"/>
    <x v="11"/>
    <x v="1"/>
    <s v="https://www.ci.stcloud.mn.us/812/Building-Permit-Reports"/>
    <s v="City of St Cloud Building Permit Reports"/>
    <s v="6925 SAUKVIEW DR, ST CLOUD, MN 56303"/>
    <n v="56303"/>
    <n v="45.559269999999998"/>
    <n v="-94.249661000000003"/>
    <m/>
    <m/>
    <m/>
    <m/>
    <m/>
    <m/>
    <m/>
    <m/>
    <s v="Central"/>
    <x v="7"/>
  </r>
  <r>
    <x v="31"/>
    <d v="2025-11-04T00:00:00"/>
    <x v="815"/>
    <s v="Bloomington"/>
    <s v="Hennepin"/>
    <s v="MN"/>
    <s v="Donaldson is global, vertically integrated filtration products manufacturer.  Building Permit describes a construction project to renovate office space. "/>
    <s v="OF"/>
    <n v="1709000"/>
    <m/>
    <x v="0"/>
    <m/>
    <x v="4"/>
    <x v="1"/>
    <s v="https://www.bloomingtonmn.gov/bldg/permit-status-inspection-results-monthly-building-reports"/>
    <s v="City of Bloomington Building Permits"/>
    <s v="1400 W 94TH ST"/>
    <n v="55431"/>
    <n v="44.833530000000003"/>
    <n v="-93.297188000000006"/>
    <m/>
    <m/>
    <m/>
    <m/>
    <m/>
    <m/>
    <m/>
    <m/>
    <s v="Metro"/>
    <x v="7"/>
  </r>
  <r>
    <x v="31"/>
    <d v="2025-11-05T00:00:00"/>
    <x v="986"/>
    <s v="Rochester"/>
    <s v="Olmsted"/>
    <s v="MN"/>
    <s v="BioLabs, an international operator of robotically optimized shared laboratory spaces for medical and life science startups, will open a 16,000-square-foot space in the Two Discovery Square building. The location will be BioLabs’ first site in the Midwest. The coworking space will give access to “state-of-the-art lab equipment” as well as support services. DMC Strategic Redevelopment Funds in support of Biolabs: $8 million. approved by City of Rochester June 2025."/>
    <s v="RD"/>
    <m/>
    <m/>
    <x v="0"/>
    <n v="16000"/>
    <x v="0"/>
    <x v="22"/>
    <s v="https://finance-commerce.com/2025/11/biolabs-rochester-discovery-square-opening/"/>
    <s v="Finance &amp; Commerce"/>
    <s v="415 2nd Avenue SW"/>
    <n v="55902"/>
    <n v="44.018787000000003"/>
    <n v="-92.466177999999999"/>
    <s v="Government"/>
    <s v="DMC/City of Rochester"/>
    <n v="8000000"/>
    <m/>
    <m/>
    <m/>
    <m/>
    <m/>
    <s v="South"/>
    <x v="7"/>
  </r>
  <r>
    <x v="31"/>
    <d v="2025-11-06T00:00:00"/>
    <x v="987"/>
    <s v="Brooklyn Park"/>
    <s v="Hennepin"/>
    <s v="MN"/>
    <s v="Fit Butters will move to its own new 14,000 square foot manufacturing facility in  Brooklyn Center in February 2026. Fit Butters is a fast-growing brand that mixes nut butters with ingredients like chocolate chips or breakfast cereals.  In the new, larger facility, Bucki hopes to produce 5,000 jars per 10-hour shift. Fit Butters will hire about 10 people for production. Next year, Fit Butters plans to roll out single-serve squeeze packs, as a gateway into convenience stores."/>
    <s v="MF"/>
    <m/>
    <n v="10"/>
    <x v="0"/>
    <n v="14000"/>
    <x v="56"/>
    <x v="1"/>
    <s v="https://www.bizjournals.com/twincities/news/2025/11/06/fit-butters-ryan-bucki-brooklyn-center.html"/>
    <s v="Minneapolis-Saint Paul Business Journal"/>
    <s v="1600 67th Ave. N."/>
    <n v="55430"/>
    <n v="45.077649999999998"/>
    <n v="-93.302079000000006"/>
    <m/>
    <m/>
    <m/>
    <m/>
    <m/>
    <m/>
    <m/>
    <m/>
    <s v="Metro"/>
    <x v="7"/>
  </r>
  <r>
    <x v="31"/>
    <d v="2025-11-10T00:00:00"/>
    <x v="110"/>
    <s v="Dayton"/>
    <s v="Hennepin"/>
    <s v="MN"/>
    <s v="Graco plans to construct a 3-story, 33,500 sq. ft. (footprint) office building, to serve as its new global headquarters. Graco currently has nearly 980,000 sq. ft. of building space across an office and manufacturing facility and a distribution center on the site in question. The new headquarters could span over 85,000 square feet and host 293 employees and visitors. An additional proposed facility would house warehouse or distribution uses. Graco expects to move into the new HQ in early or mid-2027. "/>
    <s v="HQ, OF"/>
    <m/>
    <m/>
    <x v="0"/>
    <n v="33500"/>
    <x v="4"/>
    <x v="1"/>
    <s v="https://www.bizjournals.com/twincities/news/2025/11/10/graco-plans-headquarters-dayton-minneapolis-site.html"/>
    <s v="Minneapolis-Saint Paul Business Journal"/>
    <s v="12225 W. French Lake Road"/>
    <n v="55327"/>
    <n v="45.175742999999997"/>
    <n v="-93.513846999999998"/>
    <m/>
    <m/>
    <m/>
    <m/>
    <m/>
    <m/>
    <m/>
    <m/>
    <s v="Metro"/>
    <x v="7"/>
  </r>
  <r>
    <x v="31"/>
    <d v="2025-11-18T00:00:00"/>
    <x v="988"/>
    <s v="St Cloud"/>
    <s v="Stearns"/>
    <s v="MN"/>
    <s v="Building Permit description: 8028 SF building addition and parking lot expansion for Northwestern Mutual."/>
    <s v="OF, other"/>
    <n v="1875000"/>
    <m/>
    <x v="0"/>
    <n v="8028"/>
    <x v="36"/>
    <x v="6"/>
    <s v="https://www.ci.stcloud.mn.us/812/Building-Permit-Reports"/>
    <s v="City of St Cloud Building Permit Reports"/>
    <s v="705 36 ST S, ST CLOUD, MN 56301"/>
    <n v="56301"/>
    <n v="45.506613000000002"/>
    <n v="-94.157363000000004"/>
    <m/>
    <m/>
    <m/>
    <m/>
    <m/>
    <m/>
    <m/>
    <m/>
    <s v="Central"/>
    <x v="7"/>
  </r>
  <r>
    <x v="31"/>
    <d v="2025-11-19T00:00:00"/>
    <x v="989"/>
    <s v="Saint Paul"/>
    <s v="Ramsey"/>
    <s v="MN"/>
    <s v="St. Paul's century-old Cossetta is opening a 15,000-square-foot production facility dedicated to making its award-winning panettone, the traditional Italian holiday bread. The warehouse and kitchen will be a major part in a multiyear long initiative to sell Cossetta Italian goods nationwide. Phase one of Cossetta’s e-commerce plan launches Dec. 1. The panettone laboratory, as Cossetta refers to the kitchen, is chockfull of imported ingredients and equipment straight from Italy, including 500-pound mixers."/>
    <s v="MF, DW"/>
    <m/>
    <m/>
    <x v="0"/>
    <n v="15000"/>
    <x v="56"/>
    <x v="1"/>
    <s v="https://www.bizjournals.com/twincities/news/2025/11/19/cossetta-panettone-production-facility.html"/>
    <s v="Minneapolis-Saint Paul Business Journal"/>
    <s v="221 Exchange St"/>
    <n v="55102"/>
    <n v="44.942805"/>
    <n v="-93.102680000000007"/>
    <m/>
    <m/>
    <m/>
    <m/>
    <m/>
    <m/>
    <m/>
    <m/>
    <s v="Metro"/>
    <x v="7"/>
  </r>
  <r>
    <x v="31"/>
    <d v="2025-11-20T00:00:00"/>
    <x v="269"/>
    <s v="North Mankato"/>
    <s v="Nicollet"/>
    <s v="MN"/>
    <s v="The Nidec facility in North Mankato is about to get a lot bigger. Nidec's local facility, known as Kato Engineering, broke ground on a 120,000-square-foot expansion. Nidec Power, a division of Nidec Corporation, designs and manufactures Kato Engineering™ and Leroy-Somer™ alternators, which play a critical role in power generation for applications such as data centers, hospitals, defense, and more. The company is investing over $19 million to expand operations at its North Mankato facility."/>
    <s v="MF"/>
    <n v="19000000"/>
    <m/>
    <x v="0"/>
    <n v="120000"/>
    <x v="4"/>
    <x v="1"/>
    <s v="https://acim.nidec.com/en/generators/leroy-somer/News-And-Media/News/Archive/2025/11/20/Kato-Groundbreaking"/>
    <s v="Company website"/>
    <s v="2075 W Howard Dr"/>
    <n v="56003"/>
    <n v="44.184099000000003"/>
    <n v="-94.050825000000003"/>
    <m/>
    <m/>
    <m/>
    <s v="x"/>
    <s v="NIDEC"/>
    <s v="Kyoto"/>
    <m/>
    <s v="Japan"/>
    <s v="South"/>
    <x v="7"/>
  </r>
  <r>
    <x v="31"/>
    <d v="2025-11-21T00:00:00"/>
    <x v="990"/>
    <s v="Corcoran"/>
    <s v="Hennepin"/>
    <s v="MN"/>
    <s v="PHS West, a manufacturer of equipment for the data-center industry, has signed a lease to occupy 91,000 square feet of the under-development Brockton Business Park in Corcoran.  The site will become the new PHS headquarters. The growth of the data-center industry is fueling PHS’s expansion. The new facility will allow the company to scale its production work, accelerate R&amp;D. The company is owned by Swedish corporate group Amplex."/>
    <s v="HQ, MF"/>
    <m/>
    <m/>
    <x v="0"/>
    <n v="91000"/>
    <x v="4"/>
    <x v="1"/>
    <s v="https://www.bizjournals.com/twincities/news/2025/11/21/corcoran-business-park-brockton-hempel-tpg-lease.html"/>
    <s v="Minneapolis-Saint Paul Business Journal"/>
    <s v=" 10585 County Road 101"/>
    <n v="55441"/>
    <n v="45.146859999999997"/>
    <n v="-93.523470000000003"/>
    <m/>
    <m/>
    <m/>
    <s v="x"/>
    <s v="Amplex"/>
    <m/>
    <m/>
    <s v="Sweden"/>
    <s v="Metro"/>
    <x v="7"/>
  </r>
  <r>
    <x v="31"/>
    <d v="2025-11-25T00:00:00"/>
    <x v="991"/>
    <s v="West Duluth"/>
    <s v="St. Louis"/>
    <s v="MN"/>
    <s v="Hawkline II LLC bought a vacant West Duluth warehouse for $5.7 million. Cirrus needed more warehouse space for production of their parachutes, so arranged for the purchase by Hawkline and lease back of 4506 W. First St. to Cirrus. Cirrus also leases space in Duluth’s 36-acre Hawkline Business Park. The warehouse includes 22,000 square feet of office space and 40,400 square feet of warehouse space. "/>
    <s v="DW, MF"/>
    <m/>
    <m/>
    <x v="0"/>
    <n v="62400"/>
    <x v="54"/>
    <x v="1"/>
    <s v="https://finance-commerce.com/2025/11/duluth-warehouse-sale-cirrus-expansion/"/>
    <s v="Finance &amp; Commerce"/>
    <s v="4506 W. First St. "/>
    <n v="55807"/>
    <n v="46.745716999999999"/>
    <n v="-92.154747"/>
    <m/>
    <m/>
    <m/>
    <m/>
    <m/>
    <m/>
    <m/>
    <m/>
    <s v="North"/>
    <x v="7"/>
  </r>
  <r>
    <x v="31"/>
    <d v="2025-12-02T00:00:00"/>
    <x v="992"/>
    <s v="Shakopee"/>
    <s v="Scott"/>
    <s v="MN"/>
    <s v="GN Group, a Copenhagen-based manufacturer of hearing aids, speakers and headsets, is expanding operations at its new North American headquarters in Shakopee, which has been fully operational since mid-October (2025). GN currently employs 550 employees at the facility but expects to add at least another 100 jobs in 2026. Many of those new jobs will span roles in distribution and logistics, as well as some in engineering and sales."/>
    <s v="MF"/>
    <m/>
    <n v="100"/>
    <x v="0"/>
    <m/>
    <x v="11"/>
    <x v="1"/>
    <s v="https://www.bizjournals.com/twincities/news/2025/12/02/inside-gn-group-shakopee-hq.html"/>
    <s v="Minneapolis-Saint Paul Business Journal"/>
    <s v="5005 Dean Lakes Blvd"/>
    <n v="55379"/>
    <n v="44.781855999999998"/>
    <n v="-93.456603999999999"/>
    <m/>
    <m/>
    <m/>
    <s v="x"/>
    <s v="GN Group"/>
    <s v="Copenhagen"/>
    <m/>
    <s v="Denmark"/>
    <s v="Metro"/>
    <x v="7"/>
  </r>
  <r>
    <x v="31"/>
    <d v="2025-12-03T00:00:00"/>
    <x v="739"/>
    <s v="Minneapolis"/>
    <s v="Hennepin"/>
    <s v="MN"/>
    <s v="Flexible-office space company International Workplace Group PLC, based in Switzerland, plans to open a new 30,000-square-foot Regus location at SPS Tower in downtown Minneapolis. Switzerland-based IWG’s new location will occupy the 21st and 22nd floors of the 31-story Class A tower, located at 333 Seventh St. S. The facility, expected to open early next year, will have private offices, meeting rooms as well as coworking and creative spaces."/>
    <s v="OF"/>
    <m/>
    <m/>
    <x v="0"/>
    <n v="30000"/>
    <x v="0"/>
    <x v="22"/>
    <s v="https://www.bizjournals.com/twincities/news/2025/02/20/iwg-adds-5-coworking-locations-in-the-twin-cities.html"/>
    <s v="Minneapolis-Saint Paul Business Journal"/>
    <s v="333 S. 7th St"/>
    <n v="55402"/>
    <n v="44.974516000000001"/>
    <n v="-93.267538000000002"/>
    <m/>
    <m/>
    <m/>
    <s v="x"/>
    <s v="IWG"/>
    <m/>
    <m/>
    <s v="Switzerland"/>
    <s v="Metro"/>
    <x v="7"/>
  </r>
  <r>
    <x v="31"/>
    <d v="2025-12-04T00:00:00"/>
    <x v="993"/>
    <s v="Minneapolis"/>
    <s v="Hennepin"/>
    <s v="MN"/>
    <s v="Reema, a Minneapolis startup seeking to improve health care and social care outcomes for hard-to-reach patients, has raised $19 million to expand its services and reach. The startup employs approximately 160 people, with about 30 working of its Minneapolis headquarters. They plan to hire five to 10 additional people in Minneapolis over the next year."/>
    <m/>
    <m/>
    <n v="10"/>
    <x v="0"/>
    <m/>
    <x v="0"/>
    <x v="24"/>
    <s v="https://www.bizjournals.com/twincities/news/2025/12/04/reema-health-19-million-funding.html"/>
    <s v="Minneapolis-Saint Paul Business Journal"/>
    <s v="2700 E. Lake St"/>
    <n v="55406"/>
    <n v="44.948703999999999"/>
    <n v="-93.232722999999993"/>
    <m/>
    <m/>
    <m/>
    <m/>
    <m/>
    <m/>
    <m/>
    <m/>
    <s v="Metro"/>
    <x v="7"/>
  </r>
  <r>
    <x v="31"/>
    <d v="2025-12-05T00:00:00"/>
    <x v="994"/>
    <s v="New Hope"/>
    <s v="Hennepin"/>
    <s v="MN"/>
    <s v="An entity related to Border Foods, one of the largest Taco Bell franchisees in the country, has bought a 17,291-square-foot warehouse in New Hope, adjacent to the company’s existing 12,000-square-foot office headquarters. The warehouse needs improvements, such as HVAC upgrades and other renovations needed to meet operational needs. The new site helps Border Foods secure a strategic expansion site and will be used as a regional distribution center."/>
    <s v="DW"/>
    <m/>
    <m/>
    <x v="0"/>
    <n v="17291"/>
    <x v="56"/>
    <x v="1"/>
    <s v="https://finance-commerce.com/2025/12/border-foods-new-hope-bemidji-apartment-sale/"/>
    <s v="Finance &amp; Commerce"/>
    <s v="5410 International Parkway"/>
    <n v="55428"/>
    <n v="45.051074999999997"/>
    <n v="-93.392722000000006"/>
    <m/>
    <m/>
    <m/>
    <m/>
    <m/>
    <m/>
    <m/>
    <m/>
    <s v="Metro"/>
    <x v="7"/>
  </r>
  <r>
    <x v="31"/>
    <d v="2025-12-09T00:00:00"/>
    <x v="995"/>
    <s v="Plymouth"/>
    <s v="Hennepin"/>
    <s v="MN"/>
    <s v="Daikin Applied Americas Inc., a maker of commercial HVAC equipment, has begun construction of a $163 million research and development test lab in the Twin Cities. The 71,000-square-foot facility will be located at the company’s Plymouth headquarters. Completion is expected sometime in 2027.  Daikin will use the R&amp;D lab to further HVAC innovation, specifically in cooling technologies for large data centers.  Daikin intends to hire talent across engineering and technician roles."/>
    <s v="RD"/>
    <n v="163000000"/>
    <m/>
    <x v="0"/>
    <n v="71000"/>
    <x v="4"/>
    <x v="1"/>
    <s v="https://www.bizjournals.com/twincities/news/2025/12/09/multimillion-dollar-daikin-hvac-research-facility.html"/>
    <s v="Minneapolis-Saint Paul Business Journal"/>
    <s v=" 13600 Industrial Park Blvd."/>
    <n v="55441"/>
    <n v="45.002954000000003"/>
    <n v="-93.452873999999994"/>
    <m/>
    <m/>
    <m/>
    <m/>
    <m/>
    <m/>
    <m/>
    <m/>
    <s v="Metro"/>
    <x v="7"/>
  </r>
  <r>
    <x v="31"/>
    <d v="2025-12-11T00:00:00"/>
    <x v="996"/>
    <s v="St Louis Park"/>
    <s v="Hennepin"/>
    <s v="MN"/>
    <s v="Nelson-Rudie, an engineering firm, relocated its headquarters to a 23,000-square-foot space in St. Louis Park’s Metropoint campus last month. The move relocates its 67 headquarters employees from its former location in New Hope, and increases the company’s square footage significantly (up from 14,000 square feet)."/>
    <s v="HQ, OF"/>
    <m/>
    <m/>
    <x v="0"/>
    <n v="9000"/>
    <x v="75"/>
    <x v="4"/>
    <s v="https://www.businessnorth.com/daily_briefing/iron-range-pellets-to-feed-u-s-steels-granite-city-blast-furnace/article_1a0bcfa3-15d7-4c40-a42e-edeb8c8d41ed.html"/>
    <s v="Business North"/>
    <s v="400 Highway 169 S"/>
    <n v="55426"/>
    <n v="44.976447"/>
    <n v="-93.402000999999998"/>
    <m/>
    <m/>
    <m/>
    <m/>
    <m/>
    <m/>
    <m/>
    <m/>
    <s v="Metro"/>
    <x v="7"/>
  </r>
  <r>
    <x v="31"/>
    <d v="2025-12-17T00:00:00"/>
    <x v="997"/>
    <s v="Caledonia"/>
    <s v="Houston"/>
    <s v="MN"/>
    <s v="Rawlings manufactures all the high-end batters helmets for Major League Baseball. It just opened a new Miken Sports distribution center in Caledonia. The facility is more than concrete, steel and machinery. It represents growth, innovation and opportunity. They are looking to add up to 10 employees to the Caledonia location in the next year and plan to be operating at full capacity by May 2026.  The new facility will allow all products to be under one roof, increasing efficiency."/>
    <s v="MF, DW"/>
    <m/>
    <n v="10"/>
    <x v="0"/>
    <m/>
    <x v="117"/>
    <x v="1"/>
    <s v="https://www.hometownsource.com/caledonia/rawlings-miken-unveils-completed-facility-at-ribbon-cutting/article_9eafdcdd-2404-4fa4-ac2e-106b027687f0.html"/>
    <m/>
    <s v="131 Bissen St,"/>
    <n v="55921"/>
    <n v="43.628176000000003"/>
    <n v="-91.503800999999996"/>
    <m/>
    <m/>
    <m/>
    <m/>
    <s v="Rawlings"/>
    <s v="St. Louis"/>
    <s v="MO"/>
    <m/>
    <s v="South"/>
    <x v="7"/>
  </r>
  <r>
    <x v="31"/>
    <d v="2025-12-23T00:00:00"/>
    <x v="998"/>
    <s v="Minneapolis"/>
    <s v="Hennepin"/>
    <s v="MN"/>
    <s v="Winthrop &amp; Weinstine adds 10,000 square feet in Capella Tower. The firm hired 29 lawyers in 2025, reaching 188 total attorneys. The expansion accommodates growth and 17 employee babies born in 2025.  The Minneapolis-based firm is taking over half of the building’s 31st floor, in addition to floors 32 through 37 and  bringing its total square footage there to 115,000 square feet. The buildout of the new space will begin in early 2026."/>
    <s v="OF"/>
    <m/>
    <n v="29"/>
    <x v="0"/>
    <n v="10000"/>
    <x v="17"/>
    <x v="4"/>
    <s v="https://www.bizjournals.com/twincities/news/2025/12/23/winthrop-weinstine-expands-in-capella-tower.html"/>
    <m/>
    <s v="225 S. 6th St"/>
    <n v="55402"/>
    <n v="44.976270999999997"/>
    <n v="-93.268469999999994"/>
    <m/>
    <m/>
    <m/>
    <m/>
    <m/>
    <m/>
    <m/>
    <m/>
    <s v="Metro"/>
    <x v="7"/>
  </r>
  <r>
    <x v="31"/>
    <d v="2025-12-31T00:00:00"/>
    <x v="999"/>
    <s v="Lakeville"/>
    <s v="Hennepin"/>
    <s v="MN"/>
    <s v="NPL Construction was issued a building permit in October for the construction of a 11,500-square-foot office/warehouse/storage building to be located immediately east of NPL's current location at 8190 215th Street West."/>
    <s v="OF, DW"/>
    <m/>
    <m/>
    <x v="0"/>
    <n v="11500"/>
    <x v="0"/>
    <x v="11"/>
    <s v="chrome-extension://efaidnbmnnnibpcajpcglclefindmkaj/https://www.lakevillemn.gov/DocumentCenter/View/18397/Thrive-January-2026-PDF"/>
    <s v="City of Lakeville"/>
    <s v="8190 215th St W"/>
    <n v="55044"/>
    <n v="44.637189999999997"/>
    <n v="-93.231710000000007"/>
    <m/>
    <m/>
    <m/>
    <m/>
    <m/>
    <m/>
    <m/>
    <m/>
    <s v="Metro"/>
    <x v="7"/>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r>
    <x v="32"/>
    <m/>
    <x v="1000"/>
    <m/>
    <m/>
    <m/>
    <m/>
    <m/>
    <m/>
    <m/>
    <x v="0"/>
    <m/>
    <x v="0"/>
    <x v="25"/>
    <m/>
    <m/>
    <m/>
    <m/>
    <m/>
    <m/>
    <m/>
    <m/>
    <m/>
    <m/>
    <m/>
    <m/>
    <m/>
    <m/>
    <m/>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266BE6-5B02-4048-8368-EA6D2E5D97E4}" name="PivotTable2" cacheId="125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5:D11" firstHeaderRow="0" firstDataRow="1" firstDataCol="1" rowPageCount="2" colPageCount="1"/>
  <pivotFields count="30">
    <pivotField multipleItemSelectionAllowed="1" showAll="0">
      <items count="34">
        <item h="1" x="0"/>
        <item h="1" x="1"/>
        <item h="1" x="2"/>
        <item h="1" x="3"/>
        <item h="1" x="4"/>
        <item h="1" x="5"/>
        <item h="1" x="6"/>
        <item h="1" x="7"/>
        <item h="1" x="8"/>
        <item h="1" x="9"/>
        <item h="1" x="10"/>
        <item h="1" x="11"/>
        <item h="1" x="12"/>
        <item h="1" x="13"/>
        <item h="1" x="14"/>
        <item h="1" x="15"/>
        <item h="1" x="16"/>
        <item h="1" x="18"/>
        <item h="1" x="17"/>
        <item h="1" x="19"/>
        <item h="1" x="20"/>
        <item h="1" x="21"/>
        <item h="1" x="22"/>
        <item h="1" x="23"/>
        <item h="1" x="24"/>
        <item h="1" x="25"/>
        <item h="1" x="26"/>
        <item h="1" x="27"/>
        <item x="28"/>
        <item x="29"/>
        <item x="30"/>
        <item h="1" x="32"/>
        <item x="31"/>
        <item t="default"/>
      </items>
    </pivotField>
    <pivotField numFmtId="14" showAll="0"/>
    <pivotField dataField="1" showAll="0" sortType="ascending">
      <items count="1006">
        <item m="1" x="1004"/>
        <item x="608"/>
        <item x="65"/>
        <item x="180"/>
        <item x="249"/>
        <item x="623"/>
        <item x="171"/>
        <item x="345"/>
        <item x="356"/>
        <item x="19"/>
        <item x="852"/>
        <item x="400"/>
        <item x="33"/>
        <item x="282"/>
        <item x="555"/>
        <item x="15"/>
        <item x="128"/>
        <item x="746"/>
        <item x="757"/>
        <item x="561"/>
        <item x="661"/>
        <item x="922"/>
        <item x="735"/>
        <item x="861"/>
        <item x="973"/>
        <item m="1" x="1003"/>
        <item x="523"/>
        <item x="185"/>
        <item x="731"/>
        <item x="712"/>
        <item x="844"/>
        <item x="583"/>
        <item x="129"/>
        <item x="48"/>
        <item x="245"/>
        <item x="130"/>
        <item x="483"/>
        <item x="978"/>
        <item x="264"/>
        <item x="328"/>
        <item x="542"/>
        <item x="806"/>
        <item x="261"/>
        <item x="297"/>
        <item x="734"/>
        <item x="975"/>
        <item x="403"/>
        <item x="522"/>
        <item x="234"/>
        <item x="393"/>
        <item x="642"/>
        <item x="933"/>
        <item x="664"/>
        <item x="405"/>
        <item x="155"/>
        <item x="530"/>
        <item x="911"/>
        <item x="640"/>
        <item x="208"/>
        <item x="60"/>
        <item m="1" x="1001"/>
        <item x="272"/>
        <item x="340"/>
        <item x="690"/>
        <item x="628"/>
        <item x="464"/>
        <item x="49"/>
        <item x="717"/>
        <item x="70"/>
        <item x="651"/>
        <item x="525"/>
        <item x="679"/>
        <item x="633"/>
        <item x="855"/>
        <item x="238"/>
        <item x="131"/>
        <item x="696"/>
        <item x="967"/>
        <item x="898"/>
        <item x="931"/>
        <item x="312"/>
        <item x="241"/>
        <item x="758"/>
        <item x="111"/>
        <item x="943"/>
        <item x="168"/>
        <item x="565"/>
        <item x="652"/>
        <item x="283"/>
        <item x="120"/>
        <item x="500"/>
        <item x="215"/>
        <item x="934"/>
        <item x="458"/>
        <item x="715"/>
        <item x="821"/>
        <item x="175"/>
        <item x="617"/>
        <item x="952"/>
        <item x="339"/>
        <item x="846"/>
        <item x="426"/>
        <item x="902"/>
        <item x="318"/>
        <item x="601"/>
        <item x="59"/>
        <item x="784"/>
        <item x="507"/>
        <item x="455"/>
        <item x="641"/>
        <item x="560"/>
        <item x="915"/>
        <item x="467"/>
        <item x="986"/>
        <item x="917"/>
        <item x="683"/>
        <item x="364"/>
        <item x="584"/>
        <item x="194"/>
        <item x="606"/>
        <item x="37"/>
        <item x="270"/>
        <item x="284"/>
        <item x="635"/>
        <item x="723"/>
        <item x="176"/>
        <item x="52"/>
        <item x="85"/>
        <item x="775"/>
        <item x="240"/>
        <item x="956"/>
        <item x="994"/>
        <item x="408"/>
        <item x="156"/>
        <item x="326"/>
        <item x="669"/>
        <item x="430"/>
        <item x="246"/>
        <item x="470"/>
        <item x="285"/>
        <item x="387"/>
        <item x="896"/>
        <item x="914"/>
        <item x="80"/>
        <item x="445"/>
        <item x="769"/>
        <item x="865"/>
        <item x="655"/>
        <item x="563"/>
        <item x="982"/>
        <item x="16"/>
        <item x="265"/>
        <item x="772"/>
        <item x="713"/>
        <item x="791"/>
        <item x="668"/>
        <item x="226"/>
        <item x="204"/>
        <item x="27"/>
        <item x="183"/>
        <item x="342"/>
        <item x="398"/>
        <item x="659"/>
        <item x="53"/>
        <item x="473"/>
        <item x="792"/>
        <item x="167"/>
        <item x="0"/>
        <item x="132"/>
        <item x="802"/>
        <item x="391"/>
        <item x="348"/>
        <item x="701"/>
        <item x="781"/>
        <item x="895"/>
        <item x="616"/>
        <item x="920"/>
        <item x="366"/>
        <item x="959"/>
        <item x="212"/>
        <item x="594"/>
        <item x="439"/>
        <item x="378"/>
        <item x="415"/>
        <item x="294"/>
        <item x="749"/>
        <item x="352"/>
        <item x="421"/>
        <item x="808"/>
        <item x="216"/>
        <item x="581"/>
        <item x="588"/>
        <item x="406"/>
        <item x="591"/>
        <item x="358"/>
        <item x="247"/>
        <item x="901"/>
        <item x="115"/>
        <item x="991"/>
        <item x="433"/>
        <item x="629"/>
        <item x="382"/>
        <item x="613"/>
        <item x="122"/>
        <item x="820"/>
        <item x="614"/>
        <item x="695"/>
        <item x="705"/>
        <item x="976"/>
        <item x="83"/>
        <item x="446"/>
        <item x="599"/>
        <item x="508"/>
        <item x="842"/>
        <item x="271"/>
        <item x="638"/>
        <item x="82"/>
        <item x="553"/>
        <item x="195"/>
        <item x="237"/>
        <item x="161"/>
        <item x="787"/>
        <item x="304"/>
        <item x="989"/>
        <item x="319"/>
        <item x="133"/>
        <item x="643"/>
        <item x="81"/>
        <item x="871"/>
        <item x="751"/>
        <item x="900"/>
        <item x="109"/>
        <item x="957"/>
        <item x="938"/>
        <item x="68"/>
        <item x="995"/>
        <item x="771"/>
        <item x="296"/>
        <item x="402"/>
        <item x="925"/>
        <item x="688"/>
        <item x="908"/>
        <item x="585"/>
        <item x="496"/>
        <item x="381"/>
        <item x="639"/>
        <item x="412"/>
        <item x="569"/>
        <item x="662"/>
        <item x="35"/>
        <item x="357"/>
        <item x="474"/>
        <item x="105"/>
        <item x="974"/>
        <item x="890"/>
        <item x="653"/>
        <item x="891"/>
        <item x="280"/>
        <item x="468"/>
        <item x="267"/>
        <item x="258"/>
        <item x="538"/>
        <item x="422"/>
        <item x="833"/>
        <item x="214"/>
        <item x="343"/>
        <item x="801"/>
        <item x="383"/>
        <item x="741"/>
        <item x="116"/>
        <item x="815"/>
        <item m="1" x="1002"/>
        <item x="71"/>
        <item x="704"/>
        <item x="711"/>
        <item x="388"/>
        <item x="404"/>
        <item x="593"/>
        <item x="201"/>
        <item x="471"/>
        <item x="386"/>
        <item x="460"/>
        <item x="936"/>
        <item x="475"/>
        <item x="921"/>
        <item x="983"/>
        <item x="845"/>
        <item x="984"/>
        <item x="609"/>
        <item x="236"/>
        <item x="765"/>
        <item x="587"/>
        <item x="782"/>
        <item x="755"/>
        <item x="539"/>
        <item x="268"/>
        <item x="544"/>
        <item x="266"/>
        <item x="134"/>
        <item x="492"/>
        <item x="528"/>
        <item x="866"/>
        <item x="73"/>
        <item x="369"/>
        <item x="754"/>
        <item x="160"/>
        <item x="674"/>
        <item x="979"/>
        <item x="135"/>
        <item x="596"/>
        <item x="764"/>
        <item x="385"/>
        <item x="737"/>
        <item x="634"/>
        <item x="32"/>
        <item x="74"/>
        <item x="567"/>
        <item x="184"/>
        <item x="4"/>
        <item x="416"/>
        <item x="456"/>
        <item x="535"/>
        <item x="835"/>
        <item x="960"/>
        <item x="987"/>
        <item x="670"/>
        <item x="876"/>
        <item x="136"/>
        <item x="564"/>
        <item x="654"/>
        <item x="329"/>
        <item x="961"/>
        <item x="44"/>
        <item x="953"/>
        <item x="756"/>
        <item x="869"/>
        <item x="929"/>
        <item x="694"/>
        <item x="221"/>
        <item x="255"/>
        <item x="330"/>
        <item x="478"/>
        <item x="889"/>
        <item x="137"/>
        <item x="495"/>
        <item x="873"/>
        <item x="38"/>
        <item x="742"/>
        <item x="962"/>
        <item x="262"/>
        <item x="750"/>
        <item x="714"/>
        <item x="86"/>
        <item x="894"/>
        <item x="90"/>
        <item x="877"/>
        <item x="138"/>
        <item x="459"/>
        <item x="23"/>
        <item x="912"/>
        <item x="425"/>
        <item x="112"/>
        <item x="992"/>
        <item x="880"/>
        <item x="516"/>
        <item x="549"/>
        <item x="747"/>
        <item x="110"/>
        <item x="738"/>
        <item x="28"/>
        <item x="288"/>
        <item x="295"/>
        <item x="646"/>
        <item x="744"/>
        <item x="777"/>
        <item x="892"/>
        <item x="325"/>
        <item x="970"/>
        <item x="672"/>
        <item x="604"/>
        <item x="205"/>
        <item x="556"/>
        <item x="447"/>
        <item x="946"/>
        <item x="858"/>
        <item x="941"/>
        <item x="41"/>
        <item x="857"/>
        <item x="88"/>
        <item x="736"/>
        <item x="930"/>
        <item x="11"/>
        <item x="291"/>
        <item x="306"/>
        <item x="893"/>
        <item x="274"/>
        <item x="910"/>
        <item x="832"/>
        <item x="859"/>
        <item x="595"/>
        <item x="545"/>
        <item x="724"/>
        <item x="534"/>
        <item x="251"/>
        <item x="872"/>
        <item x="442"/>
        <item x="566"/>
        <item x="722"/>
        <item x="95"/>
        <item x="795"/>
        <item x="162"/>
        <item x="320"/>
        <item x="42"/>
        <item x="837"/>
        <item x="448"/>
        <item x="47"/>
        <item x="117"/>
        <item x="619"/>
        <item x="626"/>
        <item x="682"/>
        <item x="512"/>
        <item x="582"/>
        <item x="488"/>
        <item x="359"/>
        <item x="197"/>
        <item x="99"/>
        <item x="687"/>
        <item x="691"/>
        <item x="905"/>
        <item x="139"/>
        <item x="108"/>
        <item x="907"/>
        <item x="34"/>
        <item x="743"/>
        <item x="6"/>
        <item x="66"/>
        <item x="739"/>
        <item x="800"/>
        <item x="823"/>
        <item x="256"/>
        <item x="829"/>
        <item x="18"/>
        <item x="377"/>
        <item x="479"/>
        <item x="450"/>
        <item x="649"/>
        <item x="482"/>
        <item x="50"/>
        <item x="620"/>
        <item x="919"/>
        <item x="178"/>
        <item x="529"/>
        <item x="380"/>
        <item x="607"/>
        <item x="524"/>
        <item x="644"/>
        <item x="786"/>
        <item x="273"/>
        <item x="830"/>
        <item x="269"/>
        <item x="824"/>
        <item x="969"/>
        <item x="9"/>
        <item x="432"/>
        <item x="187"/>
        <item x="618"/>
        <item x="897"/>
        <item x="624"/>
        <item x="971"/>
        <item x="831"/>
        <item x="193"/>
        <item x="944"/>
        <item x="427"/>
        <item x="780"/>
        <item x="63"/>
        <item x="950"/>
        <item x="489"/>
        <item x="75"/>
        <item x="263"/>
        <item x="882"/>
        <item x="660"/>
        <item x="114"/>
        <item x="411"/>
        <item x="172"/>
        <item x="321"/>
        <item x="227"/>
        <item x="140"/>
        <item x="531"/>
        <item x="428"/>
        <item x="927"/>
        <item x="841"/>
        <item x="954"/>
        <item x="354"/>
        <item x="401"/>
        <item x="198"/>
        <item x="199"/>
        <item x="174"/>
        <item x="540"/>
        <item x="631"/>
        <item x="1"/>
        <item x="817"/>
        <item x="650"/>
        <item x="819"/>
        <item x="854"/>
        <item x="96"/>
        <item x="301"/>
        <item x="141"/>
        <item x="61"/>
        <item x="106"/>
        <item x="980"/>
        <item x="206"/>
        <item x="67"/>
        <item x="947"/>
        <item x="510"/>
        <item x="874"/>
        <item x="550"/>
        <item x="253"/>
        <item x="62"/>
        <item x="794"/>
        <item x="118"/>
        <item x="886"/>
        <item x="420"/>
        <item x="232"/>
        <item x="506"/>
        <item x="673"/>
        <item x="611"/>
        <item x="191"/>
        <item x="57"/>
        <item x="142"/>
        <item x="331"/>
        <item x="656"/>
        <item x="968"/>
        <item x="526"/>
        <item x="779"/>
        <item x="719"/>
        <item x="374"/>
        <item x="368"/>
        <item x="578"/>
        <item x="347"/>
        <item x="143"/>
        <item x="307"/>
        <item x="517"/>
        <item x="290"/>
        <item x="513"/>
        <item x="867"/>
        <item x="22"/>
        <item x="697"/>
        <item x="484"/>
        <item x="602"/>
        <item x="186"/>
        <item x="568"/>
        <item x="451"/>
        <item x="144"/>
        <item x="875"/>
        <item x="788"/>
        <item x="287"/>
        <item x="454"/>
        <item x="916"/>
        <item x="239"/>
        <item x="928"/>
        <item x="370"/>
        <item x="822"/>
        <item x="192"/>
        <item x="494"/>
        <item x="10"/>
        <item x="310"/>
        <item x="537"/>
        <item x="632"/>
        <item x="579"/>
        <item x="173"/>
        <item x="885"/>
        <item x="827"/>
        <item x="909"/>
        <item x="399"/>
        <item x="346"/>
        <item x="699"/>
        <item x="299"/>
        <item x="761"/>
        <item x="113"/>
        <item x="21"/>
        <item x="417"/>
        <item x="438"/>
        <item x="586"/>
        <item x="394"/>
        <item x="170"/>
        <item x="752"/>
        <item x="681"/>
        <item x="557"/>
        <item x="107"/>
        <item x="671"/>
        <item x="244"/>
        <item x="485"/>
        <item x="648"/>
        <item x="25"/>
        <item x="3"/>
        <item x="811"/>
        <item x="942"/>
        <item x="203"/>
        <item x="864"/>
        <item x="257"/>
        <item x="51"/>
        <item x="963"/>
        <item x="97"/>
        <item x="703"/>
        <item x="235"/>
        <item x="486"/>
        <item x="667"/>
        <item x="327"/>
        <item x="665"/>
        <item x="259"/>
        <item x="153"/>
        <item x="774"/>
        <item x="709"/>
        <item x="996"/>
        <item x="463"/>
        <item x="515"/>
        <item x="577"/>
        <item x="56"/>
        <item x="353"/>
        <item x="209"/>
        <item x="395"/>
        <item x="785"/>
        <item x="552"/>
        <item x="939"/>
        <item x="730"/>
        <item x="154"/>
        <item x="768"/>
        <item x="636"/>
        <item x="145"/>
        <item x="570"/>
        <item x="518"/>
        <item x="499"/>
        <item x="548"/>
        <item x="418"/>
        <item x="100"/>
        <item x="26"/>
        <item x="918"/>
        <item x="809"/>
        <item x="188"/>
        <item x="521"/>
        <item x="554"/>
        <item x="72"/>
        <item x="275"/>
        <item x="881"/>
        <item x="220"/>
        <item x="541"/>
        <item x="762"/>
        <item x="625"/>
        <item x="988"/>
        <item x="20"/>
        <item x="224"/>
        <item x="31"/>
        <item x="146"/>
        <item x="999"/>
        <item x="732"/>
        <item x="850"/>
        <item x="520"/>
        <item x="807"/>
        <item x="783"/>
        <item x="796"/>
        <item x="2"/>
        <item x="376"/>
        <item x="598"/>
        <item x="457"/>
        <item x="551"/>
        <item x="502"/>
        <item x="612"/>
        <item x="637"/>
        <item x="164"/>
        <item x="692"/>
        <item x="169"/>
        <item x="753"/>
        <item x="308"/>
        <item x="904"/>
        <item x="814"/>
        <item x="546"/>
        <item x="981"/>
        <item x="379"/>
        <item x="825"/>
        <item x="436"/>
        <item x="708"/>
        <item x="189"/>
        <item x="849"/>
        <item x="562"/>
        <item x="79"/>
        <item x="365"/>
        <item x="505"/>
        <item x="589"/>
        <item x="527"/>
        <item x="870"/>
        <item x="798"/>
        <item x="384"/>
        <item x="243"/>
        <item x="181"/>
        <item x="147"/>
        <item x="148"/>
        <item x="371"/>
        <item x="884"/>
        <item x="573"/>
        <item x="836"/>
        <item x="990"/>
        <item x="778"/>
        <item x="487"/>
        <item x="210"/>
        <item x="789"/>
        <item x="716"/>
        <item x="740"/>
        <item x="165"/>
        <item x="647"/>
        <item x="760"/>
        <item x="725"/>
        <item x="219"/>
        <item x="407"/>
        <item x="645"/>
        <item x="503"/>
        <item x="838"/>
        <item x="434"/>
        <item x="879"/>
        <item x="985"/>
        <item x="592"/>
        <item x="906"/>
        <item x="94"/>
        <item x="58"/>
        <item x="217"/>
        <item x="89"/>
        <item x="17"/>
        <item x="179"/>
        <item x="332"/>
        <item x="322"/>
        <item x="675"/>
        <item x="252"/>
        <item x="571"/>
        <item x="763"/>
        <item x="558"/>
        <item x="603"/>
        <item x="233"/>
        <item x="826"/>
        <item x="248"/>
        <item x="559"/>
        <item x="440"/>
        <item x="277"/>
        <item x="149"/>
        <item x="580"/>
        <item x="997"/>
        <item x="333"/>
        <item x="926"/>
        <item x="590"/>
        <item x="157"/>
        <item x="504"/>
        <item x="993"/>
        <item x="497"/>
        <item x="76"/>
        <item x="87"/>
        <item x="92"/>
        <item x="93"/>
        <item x="773"/>
        <item x="305"/>
        <item x="964"/>
        <item x="315"/>
        <item x="300"/>
        <item x="462"/>
        <item x="334"/>
        <item x="228"/>
        <item x="804"/>
        <item x="229"/>
        <item x="888"/>
        <item x="658"/>
        <item x="335"/>
        <item x="803"/>
        <item x="372"/>
        <item x="218"/>
        <item x="125"/>
        <item x="729"/>
        <item x="848"/>
        <item x="278"/>
        <item x="317"/>
        <item x="843"/>
        <item x="913"/>
        <item x="797"/>
        <item x="860"/>
        <item x="452"/>
        <item x="323"/>
        <item x="666"/>
        <item x="13"/>
        <item x="965"/>
        <item x="223"/>
        <item x="816"/>
        <item x="726"/>
        <item x="344"/>
        <item x="805"/>
        <item x="126"/>
        <item x="292"/>
        <item x="309"/>
        <item x="745"/>
        <item x="839"/>
        <item x="721"/>
        <item x="748"/>
        <item x="225"/>
        <item x="360"/>
        <item x="414"/>
        <item x="222"/>
        <item x="720"/>
        <item x="202"/>
        <item x="728"/>
        <item x="532"/>
        <item x="24"/>
        <item x="718"/>
        <item x="853"/>
        <item x="481"/>
        <item x="373"/>
        <item x="311"/>
        <item x="396"/>
        <item x="392"/>
        <item x="533"/>
        <item x="293"/>
        <item x="543"/>
        <item x="851"/>
        <item x="480"/>
        <item x="536"/>
        <item x="574"/>
        <item x="163"/>
        <item x="150"/>
        <item x="7"/>
        <item x="158"/>
        <item x="955"/>
        <item x="945"/>
        <item x="818"/>
        <item x="615"/>
        <item x="693"/>
        <item x="790"/>
        <item x="883"/>
        <item x="799"/>
        <item x="39"/>
        <item x="101"/>
        <item x="316"/>
        <item x="78"/>
        <item x="397"/>
        <item x="362"/>
        <item x="597"/>
        <item x="231"/>
        <item x="605"/>
        <item x="84"/>
        <item x="514"/>
        <item x="8"/>
        <item x="151"/>
        <item x="5"/>
        <item x="375"/>
        <item x="213"/>
        <item x="207"/>
        <item x="878"/>
        <item x="977"/>
        <item x="887"/>
        <item x="69"/>
        <item x="276"/>
        <item x="948"/>
        <item x="196"/>
        <item x="437"/>
        <item x="29"/>
        <item x="684"/>
        <item x="77"/>
        <item x="575"/>
        <item x="812"/>
        <item x="600"/>
        <item x="91"/>
        <item x="493"/>
        <item x="491"/>
        <item x="102"/>
        <item x="472"/>
        <item x="441"/>
        <item x="182"/>
        <item x="453"/>
        <item x="707"/>
        <item x="657"/>
        <item x="279"/>
        <item x="124"/>
        <item x="281"/>
        <item x="519"/>
        <item x="30"/>
        <item x="676"/>
        <item x="501"/>
        <item x="367"/>
        <item x="177"/>
        <item x="461"/>
        <item x="254"/>
        <item x="390"/>
        <item x="40"/>
        <item x="260"/>
        <item x="576"/>
        <item x="242"/>
        <item x="863"/>
        <item x="230"/>
        <item x="680"/>
        <item x="610"/>
        <item x="469"/>
        <item x="103"/>
        <item x="810"/>
        <item x="847"/>
        <item x="119"/>
        <item x="923"/>
        <item x="98"/>
        <item x="314"/>
        <item x="423"/>
        <item x="363"/>
        <item x="336"/>
        <item x="899"/>
        <item x="429"/>
        <item x="477"/>
        <item x="958"/>
        <item x="389"/>
        <item x="250"/>
        <item x="413"/>
        <item x="435"/>
        <item x="727"/>
        <item x="663"/>
        <item x="856"/>
        <item x="45"/>
        <item x="509"/>
        <item x="706"/>
        <item x="286"/>
        <item x="862"/>
        <item x="685"/>
        <item x="341"/>
        <item x="770"/>
        <item x="868"/>
        <item x="14"/>
        <item x="767"/>
        <item x="64"/>
        <item x="190"/>
        <item x="36"/>
        <item x="793"/>
        <item x="828"/>
        <item x="298"/>
        <item x="12"/>
        <item x="511"/>
        <item x="159"/>
        <item x="465"/>
        <item x="350"/>
        <item x="490"/>
        <item x="200"/>
        <item x="966"/>
        <item x="547"/>
        <item x="924"/>
        <item x="302"/>
        <item x="152"/>
        <item x="935"/>
        <item x="733"/>
        <item x="54"/>
        <item x="121"/>
        <item x="476"/>
        <item x="424"/>
        <item x="627"/>
        <item x="766"/>
        <item x="937"/>
        <item x="349"/>
        <item x="166"/>
        <item x="498"/>
        <item x="324"/>
        <item x="43"/>
        <item x="689"/>
        <item x="932"/>
        <item x="698"/>
        <item x="903"/>
        <item x="702"/>
        <item x="677"/>
        <item x="46"/>
        <item x="630"/>
        <item x="813"/>
        <item x="572"/>
        <item x="940"/>
        <item x="337"/>
        <item x="361"/>
        <item x="419"/>
        <item x="127"/>
        <item x="351"/>
        <item x="123"/>
        <item x="951"/>
        <item x="409"/>
        <item x="678"/>
        <item x="211"/>
        <item x="710"/>
        <item x="949"/>
        <item x="998"/>
        <item x="443"/>
        <item x="313"/>
        <item x="410"/>
        <item x="466"/>
        <item x="700"/>
        <item x="355"/>
        <item x="444"/>
        <item x="759"/>
        <item x="621"/>
        <item x="104"/>
        <item x="776"/>
        <item x="622"/>
        <item x="840"/>
        <item x="55"/>
        <item x="338"/>
        <item x="834"/>
        <item x="449"/>
        <item x="972"/>
        <item x="686"/>
        <item x="303"/>
        <item x="289"/>
        <item x="431"/>
        <item x="1000"/>
        <item t="default"/>
      </items>
    </pivotField>
    <pivotField multipleItemSelectionAllowed="1" showAll="0"/>
    <pivotField showAll="0"/>
    <pivotField showAll="0"/>
    <pivotField showAll="0"/>
    <pivotField showAll="0"/>
    <pivotField dataField="1" showAll="0"/>
    <pivotField dataField="1" showAll="0"/>
    <pivotField showAll="0">
      <items count="38">
        <item x="14"/>
        <item x="17"/>
        <item x="36"/>
        <item x="10"/>
        <item x="11"/>
        <item x="20"/>
        <item x="7"/>
        <item x="9"/>
        <item x="16"/>
        <item x="1"/>
        <item x="8"/>
        <item x="13"/>
        <item x="2"/>
        <item x="15"/>
        <item x="12"/>
        <item x="27"/>
        <item x="35"/>
        <item x="26"/>
        <item x="25"/>
        <item x="5"/>
        <item x="22"/>
        <item x="4"/>
        <item x="18"/>
        <item x="23"/>
        <item x="24"/>
        <item x="32"/>
        <item x="34"/>
        <item x="33"/>
        <item x="29"/>
        <item x="6"/>
        <item x="19"/>
        <item x="21"/>
        <item x="3"/>
        <item x="28"/>
        <item x="31"/>
        <item x="30"/>
        <item x="0"/>
        <item t="default"/>
      </items>
    </pivotField>
    <pivotField showAll="0"/>
    <pivotField axis="axisRow" showAll="0">
      <items count="119">
        <item x="14"/>
        <item x="34"/>
        <item x="58"/>
        <item x="70"/>
        <item x="21"/>
        <item x="61"/>
        <item x="73"/>
        <item x="59"/>
        <item x="46"/>
        <item x="76"/>
        <item x="15"/>
        <item x="39"/>
        <item x="64"/>
        <item x="111"/>
        <item x="10"/>
        <item x="87"/>
        <item x="92"/>
        <item x="28"/>
        <item x="106"/>
        <item x="83"/>
        <item x="91"/>
        <item x="3"/>
        <item x="81"/>
        <item x="23"/>
        <item x="35"/>
        <item x="41"/>
        <item x="102"/>
        <item x="29"/>
        <item x="89"/>
        <item x="47"/>
        <item x="7"/>
        <item x="96"/>
        <item x="94"/>
        <item x="75"/>
        <item x="82"/>
        <item x="72"/>
        <item x="79"/>
        <item x="27"/>
        <item x="112"/>
        <item x="50"/>
        <item x="68"/>
        <item x="56"/>
        <item x="45"/>
        <item x="110"/>
        <item x="77"/>
        <item x="1"/>
        <item x="8"/>
        <item x="69"/>
        <item x="86"/>
        <item x="43"/>
        <item x="40"/>
        <item x="36"/>
        <item x="44"/>
        <item x="107"/>
        <item x="101"/>
        <item x="17"/>
        <item x="4"/>
        <item x="85"/>
        <item x="52"/>
        <item x="65"/>
        <item x="98"/>
        <item x="11"/>
        <item x="113"/>
        <item x="51"/>
        <item x="71"/>
        <item x="80"/>
        <item x="37"/>
        <item x="114"/>
        <item x="99"/>
        <item x="97"/>
        <item x="105"/>
        <item x="115"/>
        <item x="6"/>
        <item x="84"/>
        <item x="88"/>
        <item x="38"/>
        <item x="109"/>
        <item x="20"/>
        <item x="12"/>
        <item x="16"/>
        <item x="18"/>
        <item x="19"/>
        <item x="31"/>
        <item x="103"/>
        <item x="67"/>
        <item x="13"/>
        <item x="32"/>
        <item x="78"/>
        <item x="53"/>
        <item x="66"/>
        <item x="57"/>
        <item x="2"/>
        <item x="74"/>
        <item x="26"/>
        <item x="42"/>
        <item x="100"/>
        <item x="93"/>
        <item x="49"/>
        <item x="108"/>
        <item x="48"/>
        <item x="116"/>
        <item x="5"/>
        <item x="9"/>
        <item x="63"/>
        <item x="25"/>
        <item x="33"/>
        <item x="117"/>
        <item x="54"/>
        <item x="22"/>
        <item x="30"/>
        <item x="95"/>
        <item x="55"/>
        <item x="90"/>
        <item x="24"/>
        <item x="104"/>
        <item x="60"/>
        <item x="62"/>
        <item x="0"/>
        <item t="default"/>
      </items>
    </pivotField>
    <pivotField axis="axisPage" showAll="0">
      <items count="27">
        <item x="7"/>
        <item x="15"/>
        <item x="14"/>
        <item x="12"/>
        <item x="11"/>
        <item x="20"/>
        <item x="18"/>
        <item x="6"/>
        <item x="19"/>
        <item x="0"/>
        <item x="24"/>
        <item x="9"/>
        <item x="1"/>
        <item x="23"/>
        <item x="5"/>
        <item x="4"/>
        <item x="22"/>
        <item x="2"/>
        <item x="8"/>
        <item x="3"/>
        <item x="21"/>
        <item x="17"/>
        <item x="16"/>
        <item x="13"/>
        <item x="10"/>
        <item x="2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10">
        <item x="0"/>
        <item x="1"/>
        <item x="2"/>
        <item x="3"/>
        <item x="4"/>
        <item x="5"/>
        <item x="6"/>
        <item x="7"/>
        <item x="8"/>
        <item t="default"/>
      </items>
    </pivotField>
  </pivotFields>
  <rowFields count="1">
    <field x="12"/>
  </rowFields>
  <rowItems count="6">
    <i>
      <x v="15"/>
    </i>
    <i>
      <x v="21"/>
    </i>
    <i>
      <x v="33"/>
    </i>
    <i>
      <x v="55"/>
    </i>
    <i>
      <x v="95"/>
    </i>
    <i t="grand">
      <x/>
    </i>
  </rowItems>
  <colFields count="1">
    <field x="-2"/>
  </colFields>
  <colItems count="3">
    <i>
      <x/>
    </i>
    <i i="1">
      <x v="1"/>
    </i>
    <i i="2">
      <x v="2"/>
    </i>
  </colItems>
  <pageFields count="2">
    <pageField fld="29" item="7" hier="-1"/>
    <pageField fld="13" item="15" hier="-1"/>
  </pageFields>
  <dataFields count="3">
    <dataField name="Count of Account Name" fld="2" subtotal="count" baseField="0" baseItem="0"/>
    <dataField name="Sum of New Jobs - Non Construction" fld="9" baseField="29" baseItem="0"/>
    <dataField name="Sum of Investmen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bizjournals.com/twincities/news/2022/03/11/colder-products-co-expanding-twin-cities-footprin.html" TargetMode="External"/><Relationship Id="rId21" Type="http://schemas.openxmlformats.org/officeDocument/2006/relationships/hyperlink" Target="http://www.ci.white-bear-township.mn.us/DocumentCenter/View/1663/Variance-Board-Meeting-of--September-23-2019-PDF" TargetMode="External"/><Relationship Id="rId42" Type="http://schemas.openxmlformats.org/officeDocument/2006/relationships/hyperlink" Target="https://www.americaninno.com/minne/inno-news-minne/fintech-startup-branch-grows-executive-team/" TargetMode="External"/><Relationship Id="rId63" Type="http://schemas.openxmlformats.org/officeDocument/2006/relationships/hyperlink" Target="http://rochestercitymn.iqm2.com/Citizens/Detail_Meeting.aspx?ID=3765" TargetMode="External"/><Relationship Id="rId84" Type="http://schemas.openxmlformats.org/officeDocument/2006/relationships/hyperlink" Target="https://www.bizjournals.com/twincities/news/2020/08/06/best-places-to-work-2020-rbc-wealth-management.html" TargetMode="External"/><Relationship Id="rId138" Type="http://schemas.openxmlformats.org/officeDocument/2006/relationships/hyperlink" Target="https://www.linkedin.com/posts/takeda-pharmaceuticals_biopharmaceutical-activity-7090345875444506624-iZPK" TargetMode="External"/><Relationship Id="rId107" Type="http://schemas.openxmlformats.org/officeDocument/2006/relationships/hyperlink" Target="http://www.businessnorth.com/around_the_region/floe-international-expands-its-hoyt-lakes-facility-in-a-new-location/article_3254c5ba-e00d-11eb-a2ca-7340e207e93a.html" TargetMode="External"/><Relationship Id="rId11" Type="http://schemas.openxmlformats.org/officeDocument/2006/relationships/hyperlink" Target="http://la-img.ci.lakeville.mn.us/WebLink/DocView.aspx?dbid=0&amp;id=1566084&amp;page=1&amp;cr=1" TargetMode="External"/><Relationship Id="rId32" Type="http://schemas.openxmlformats.org/officeDocument/2006/relationships/hyperlink" Target="https://www.bizjournals.com/twincities/news/2019/02/26/cool-offices-canteen-vending-quadruples-its-space.html" TargetMode="External"/><Relationship Id="rId53" Type="http://schemas.openxmlformats.org/officeDocument/2006/relationships/hyperlink" Target="https://www.bizjournals.com/twincities/news/2020/06/18/xcel-3b-renewable-energy-projects-minnesota.html" TargetMode="External"/><Relationship Id="rId74" Type="http://schemas.openxmlformats.org/officeDocument/2006/relationships/hyperlink" Target="https://www.startribune.com/duluth-city-council-approves-1-3m-tax-abatement-for-costco/571842641/" TargetMode="External"/><Relationship Id="rId128" Type="http://schemas.openxmlformats.org/officeDocument/2006/relationships/hyperlink" Target="https://www.dsgsupply.com/dsgnews/dsg-mankato-gb" TargetMode="External"/><Relationship Id="rId149" Type="http://schemas.openxmlformats.org/officeDocument/2006/relationships/hyperlink" Target="https://www.stcloudlive.com/business/expansion-planned-in-st-cloud-airport-business-park" TargetMode="External"/><Relationship Id="rId5" Type="http://schemas.openxmlformats.org/officeDocument/2006/relationships/hyperlink" Target="https://wjon.com/blattner-energy-expanding-avon-headquarters/" TargetMode="External"/><Relationship Id="rId95" Type="http://schemas.openxmlformats.org/officeDocument/2006/relationships/hyperlink" Target="https://tcbmag.com/deluxe-corp-moving-hq-to-downtown-minneapolis/" TargetMode="External"/><Relationship Id="rId22" Type="http://schemas.openxmlformats.org/officeDocument/2006/relationships/hyperlink" Target="https://www.bizjournals.com/twincities/news/2019/11/27/maud-borup-will-expand-minnesota-candy-factory.html" TargetMode="External"/><Relationship Id="rId27" Type="http://schemas.openxmlformats.org/officeDocument/2006/relationships/hyperlink" Target="https://www.bizjournals.com/twincities/news/2019/02/28/wework-adding-yet-another-twin-cities-location.html" TargetMode="External"/><Relationship Id="rId43" Type="http://schemas.openxmlformats.org/officeDocument/2006/relationships/hyperlink" Target="https://www.bizjournals.com/twincities/news/2020/05/07/zipnosis-hires-while-telehealth-visits-grow-by.html" TargetMode="External"/><Relationship Id="rId48" Type="http://schemas.openxmlformats.org/officeDocument/2006/relationships/hyperlink" Target="https://www.bizjournals.com/twincities/news/2020/05/11/3m-drug-delivery-spinoff-seeking-workers-and-east.html" TargetMode="External"/><Relationship Id="rId64" Type="http://schemas.openxmlformats.org/officeDocument/2006/relationships/hyperlink" Target="https://www.bizjournals.com/twincities/news/2020/06/09/maurices-st-paul-tech-office-osborn-370-tower.html" TargetMode="External"/><Relationship Id="rId69" Type="http://schemas.openxmlformats.org/officeDocument/2006/relationships/hyperlink" Target="https://www.wctrib.com/business/announcements/6566017-Ziegler-Cats-new-dealership-building-now-complete-in-Willmar" TargetMode="External"/><Relationship Id="rId113" Type="http://schemas.openxmlformats.org/officeDocument/2006/relationships/hyperlink" Target="https://www.bizjournals.com/twincities/news/2022/02/01/cool-offices-yamamoto.html" TargetMode="External"/><Relationship Id="rId118" Type="http://schemas.openxmlformats.org/officeDocument/2006/relationships/hyperlink" Target="https://www.bloomingtonmn.gov/bldg/permit-status-inspection-results-monthly-building-reports" TargetMode="External"/><Relationship Id="rId134" Type="http://schemas.openxmlformats.org/officeDocument/2006/relationships/hyperlink" Target="https://www.bloomingtonmn.gov/bldg/permit-status-inspection-results-monthly-building-reports" TargetMode="External"/><Relationship Id="rId139" Type="http://schemas.openxmlformats.org/officeDocument/2006/relationships/hyperlink" Target="http://www.businessnorth.com/daily_briefing/l-m-fleet-supply-to-build-new-distribution-center/article_8e2582e0-3311-11ee-be35-e3ce5651ac78.html" TargetMode="External"/><Relationship Id="rId80" Type="http://schemas.openxmlformats.org/officeDocument/2006/relationships/hyperlink" Target="https://www.bizjournals.com/twincities/news/2020/07/10/revol-greens-expands-medford-greenhouse.html?ana=e_me_prem&amp;j=90518469&amp;t=Morning&amp;mkt_tok=eyJpIjoiTlRaaFl6TXpPRFE0TURFNSIsInQiOiIwcHp6bVwvelhlTFwvZzdzYUtEUmdpeWZMaEpcL2YwTWF6VXJtZHlRTlwvRnVZSXZFeGMrZjlwNXJySEJoaFFDekRRUEV5S3VaQTRZSUVIXC9Qc2hGWk5rYXlPUXp0N2FhVVk4aFN3NDVXVUIxeHB4WXBRdUM1a2RCTE4rSWdsb0V1Z2x4In0%3D" TargetMode="External"/><Relationship Id="rId85" Type="http://schemas.openxmlformats.org/officeDocument/2006/relationships/hyperlink" Target="https://www.bizjournals.com/twincities/news/2020/08/06/best-places-to-work-2020-ameriprise-financial.html" TargetMode="External"/><Relationship Id="rId150" Type="http://schemas.openxmlformats.org/officeDocument/2006/relationships/hyperlink" Target="https://finance-commerce.com/2024/10/gamer-packaging-signs-at-fifth-street-towers/" TargetMode="External"/><Relationship Id="rId155" Type="http://schemas.openxmlformats.org/officeDocument/2006/relationships/printerSettings" Target="../printerSettings/printerSettings1.bin"/><Relationship Id="rId12" Type="http://schemas.openxmlformats.org/officeDocument/2006/relationships/hyperlink" Target="https://www.bizjournals.com/twincities/news/2019/03/06/tennant-will-buy-40-acre-office-complex-will-move.html" TargetMode="External"/><Relationship Id="rId17" Type="http://schemas.openxmlformats.org/officeDocument/2006/relationships/hyperlink" Target="https://finance.yahoo.com/news/taoglas-opens-iot-design-support-120000974.html" TargetMode="External"/><Relationship Id="rId33" Type="http://schemas.openxmlformats.org/officeDocument/2006/relationships/hyperlink" Target="https://mn.gov/deed/newscenter/press-releases/?id=410709" TargetMode="External"/><Relationship Id="rId38" Type="http://schemas.openxmlformats.org/officeDocument/2006/relationships/hyperlink" Target="https://www.bizjournals.com/twincities/news/2020/04/10/for-tech-firms-still-hiring-slump-has-put-top.html" TargetMode="External"/><Relationship Id="rId59" Type="http://schemas.openxmlformats.org/officeDocument/2006/relationships/hyperlink" Target="https://finance-commerce.com/2020/06/greystone-to-build-new-hq-at-canterbury-commons/" TargetMode="External"/><Relationship Id="rId103" Type="http://schemas.openxmlformats.org/officeDocument/2006/relationships/hyperlink" Target="https://www.southernminn.com/northfield_news/business/article_b440079d-6316-5eae-8404-afdb4357d21a.html" TargetMode="External"/><Relationship Id="rId108" Type="http://schemas.openxmlformats.org/officeDocument/2006/relationships/hyperlink" Target="https://gcc02.safelinks.protection.outlook.com/?url=https%3A%2F%2Fbit.ly%2F3nwYasQ&amp;data=04%7C01%7Cthu-mai.ho-kim%40state.mn.us%7Ce2bc217e96a24e7552d508d977c5c96f%7Ceb14b04624c445198f26b89c2159828c%7C0%7C0%7C637672513635843188%7CUnknown%7CTWFpbGZsb3d8eyJWIjoiMC4wLjAwMDAiLCJQIjoiV2luMzIiLCJBTiI6Ik1haWwiLCJXVCI6Mn0%3D%7C1000&amp;sdata=bsfNQBW7mPz399EA1m9QF3czZ%2FRrMCPr4t8fJORhvAI%3D&amp;reserved=0" TargetMode="External"/><Relationship Id="rId124" Type="http://schemas.openxmlformats.org/officeDocument/2006/relationships/hyperlink" Target="https://www.bloomingtonmn.gov/bldg/permit-status-inspection-results-monthly-building-reports" TargetMode="External"/><Relationship Id="rId129" Type="http://schemas.openxmlformats.org/officeDocument/2006/relationships/hyperlink" Target="https://www.hato.lighting/en/hato-insights/latest-news/a-bright-future-for-farmers-with-hato-usa" TargetMode="External"/><Relationship Id="rId54" Type="http://schemas.openxmlformats.org/officeDocument/2006/relationships/hyperlink" Target="https://www.coonrapidsmn.gov/ArchiveCenter/ViewFile/Item/951" TargetMode="External"/><Relationship Id="rId70" Type="http://schemas.openxmlformats.org/officeDocument/2006/relationships/hyperlink" Target="https://www.bizjournals.com/twincities/news/2020/07/07/cool-offices-saluda-medical-bloomington-office.html" TargetMode="External"/><Relationship Id="rId75" Type="http://schemas.openxmlformats.org/officeDocument/2006/relationships/hyperlink" Target="https://www.startribune.com/metro-storage-to-build-908-unit-facility-in-coon-rapids/571750032/" TargetMode="External"/><Relationship Id="rId91" Type="http://schemas.openxmlformats.org/officeDocument/2006/relationships/hyperlink" Target="https://www.bizjournals.com/twincities/news/2020/09/03/davis-medical-office-stlouispark-groundbreaking.html" TargetMode="External"/><Relationship Id="rId96" Type="http://schemas.openxmlformats.org/officeDocument/2006/relationships/hyperlink" Target="https://finance-commerce.com/2020/08/just-sold-woodchuck-usa-buys-vomelas-former-hq/" TargetMode="External"/><Relationship Id="rId140" Type="http://schemas.openxmlformats.org/officeDocument/2006/relationships/hyperlink" Target="http://www.businessnorth.com/daily_briefing/l-m-fleet-supply-to-build-new-distribution-center/article_8e2582e0-3311-11ee-be35-e3ce5651ac78.html" TargetMode="External"/><Relationship Id="rId145" Type="http://schemas.openxmlformats.org/officeDocument/2006/relationships/hyperlink" Target="https://www.hometownsource.com/monticello_times/news/wiha-tools-paving-the-way-for-new-facility/article_d8172710-fedc-11ec-8b6f-3315680158c3.html" TargetMode="External"/><Relationship Id="rId1" Type="http://schemas.openxmlformats.org/officeDocument/2006/relationships/hyperlink" Target="http://www.startribune.com/optum-finds-a-big-new-home-in-eden-prairie/123142228/" TargetMode="External"/><Relationship Id="rId6" Type="http://schemas.openxmlformats.org/officeDocument/2006/relationships/hyperlink" Target="https://finance-commerce.com/2019/05/icy-city-could-be-data-center-hot-spot/" TargetMode="External"/><Relationship Id="rId23" Type="http://schemas.openxmlformats.org/officeDocument/2006/relationships/hyperlink" Target="http://www.startribune.com/female-ceo-leads-minnesota-building-products-maker-to-campus-expansion/565623832/" TargetMode="External"/><Relationship Id="rId28" Type="http://schemas.openxmlformats.org/officeDocument/2006/relationships/hyperlink" Target="http://www.startribune.com/osseo-tooling-manufacturer-die-technology-launches-precision-machining-company/507225412/" TargetMode="External"/><Relationship Id="rId49" Type="http://schemas.openxmlformats.org/officeDocument/2006/relationships/hyperlink" Target="https://mn.gov/deed/newscenter/press-releases/?id=432987" TargetMode="External"/><Relationship Id="rId114" Type="http://schemas.openxmlformats.org/officeDocument/2006/relationships/hyperlink" Target="https://www.bizjournals.com/twincities/news/2022/02/07/seagate-bloomington-facility-expansion.html?cx_testId=40&amp;cx_testVariant=cx_46&amp;cx_artPos=9" TargetMode="External"/><Relationship Id="rId119" Type="http://schemas.openxmlformats.org/officeDocument/2006/relationships/hyperlink" Target="https://www.coonrapidsmn.gov/Archive.aspx?AMID=79" TargetMode="External"/><Relationship Id="rId44" Type="http://schemas.openxmlformats.org/officeDocument/2006/relationships/hyperlink" Target="https://finance-commerce.com/2020/04/just-sold-trehus-buys-bigger-office-in-golden-valley/" TargetMode="External"/><Relationship Id="rId60" Type="http://schemas.openxmlformats.org/officeDocument/2006/relationships/hyperlink" Target="https://www.buhlergroup.com/content/buhlergroup/global/en/media/media-releases/buehler_opens_newfoodapplicationcenterascollaborationvenueforcre.html" TargetMode="External"/><Relationship Id="rId65" Type="http://schemas.openxmlformats.org/officeDocument/2006/relationships/hyperlink" Target="https://www.bizjournals.com/twincities/news/2020/06/10/utah-health-tech-company-opening-st-paul.html" TargetMode="External"/><Relationship Id="rId81" Type="http://schemas.openxmlformats.org/officeDocument/2006/relationships/hyperlink" Target="https://finance-commerce.com/2020/07/just-sold-hugo-wire-company-moves-to-lino-lakes/" TargetMode="External"/><Relationship Id="rId86" Type="http://schemas.openxmlformats.org/officeDocument/2006/relationships/hyperlink" Target="https://www.bizjournals.com/twincities/news/2020/08/06/best-places-to-work-2020-tpi-hospitality.html" TargetMode="External"/><Relationship Id="rId130" Type="http://schemas.openxmlformats.org/officeDocument/2006/relationships/hyperlink" Target="https://www.bloomingtonmn.gov/bldg/permit-status-inspection-results-monthly-building-reports" TargetMode="External"/><Relationship Id="rId135" Type="http://schemas.openxmlformats.org/officeDocument/2006/relationships/hyperlink" Target="https://www.bloomingtonmn.gov/bldg/permit-status-inspection-results-monthly-building-reports" TargetMode="External"/><Relationship Id="rId151" Type="http://schemas.openxmlformats.org/officeDocument/2006/relationships/hyperlink" Target="https://www.twincities.com/2024/12/01/farmington-data-center-park-advances-objections/" TargetMode="External"/><Relationship Id="rId13" Type="http://schemas.openxmlformats.org/officeDocument/2006/relationships/hyperlink" Target="http://www.businessnorth.com/businessnorth_exclusives/lake-view-hospital-in-two-harbors-expanding/article_0ef9d73e-4f1b-11e9-b051-a34eb2d82456.html" TargetMode="External"/><Relationship Id="rId18" Type="http://schemas.openxmlformats.org/officeDocument/2006/relationships/hyperlink" Target="https://www.bizjournals.com/twincities/news/2019/09/20/chinese-biotech-firm-partners-with-mayo-will-open.html" TargetMode="External"/><Relationship Id="rId39" Type="http://schemas.openxmlformats.org/officeDocument/2006/relationships/hyperlink" Target="https://www.bizjournals.com/twincities/news/2020/04/10/for-tech-firms-still-hiring-slump-has-put-top.html" TargetMode="External"/><Relationship Id="rId109" Type="http://schemas.openxmlformats.org/officeDocument/2006/relationships/hyperlink" Target="https://www.startribune.com/minnesota-manufacturing-is-looking-up-despite-supply-chain-concerns/600118143/" TargetMode="External"/><Relationship Id="rId34" Type="http://schemas.openxmlformats.org/officeDocument/2006/relationships/hyperlink" Target="https://mn.gov/deed/ed/about-us/news-events/press-releases/ed-press-releases.jsp?id=1045-380038" TargetMode="External"/><Relationship Id="rId50" Type="http://schemas.openxmlformats.org/officeDocument/2006/relationships/hyperlink" Target="https://mn.gov/deed/newscenter/press-releases/?id=432987" TargetMode="External"/><Relationship Id="rId55" Type="http://schemas.openxmlformats.org/officeDocument/2006/relationships/hyperlink" Target="https://www.bloomingtonmn.gov/bldg/permit-status-inspection-results-monthly-building-reports" TargetMode="External"/><Relationship Id="rId76" Type="http://schemas.openxmlformats.org/officeDocument/2006/relationships/hyperlink" Target="https://mn.gov/deed/newscenter/press-releases/" TargetMode="External"/><Relationship Id="rId97" Type="http://schemas.openxmlformats.org/officeDocument/2006/relationships/hyperlink" Target="https://www.bloomingtonmn.gov/bldg/permit-status-inspection-results-monthly-building-reports" TargetMode="External"/><Relationship Id="rId104" Type="http://schemas.openxmlformats.org/officeDocument/2006/relationships/hyperlink" Target="https://tcbmag.com/google-to-open-first-minnesota-office-in-rochester/?utm_source=SilverpopMailing&amp;utm_medium=email&amp;utm_campaign=021821_TBRIEFCASE%20(1)" TargetMode="External"/><Relationship Id="rId120" Type="http://schemas.openxmlformats.org/officeDocument/2006/relationships/hyperlink" Target="https://www.rainylakegazette.com/2021/12/15/make-way-for-expansion-city-to-assist-greentech/" TargetMode="External"/><Relationship Id="rId125" Type="http://schemas.openxmlformats.org/officeDocument/2006/relationships/hyperlink" Target="https://www.bloomingtonmn.gov/bldg/permit-status-inspection-results-monthly-building-reports" TargetMode="External"/><Relationship Id="rId141" Type="http://schemas.openxmlformats.org/officeDocument/2006/relationships/hyperlink" Target="https://www.ci.stcloud.mn.us/DocumentCenter/View/24638/Septhttps:/www.ci.stcloud.mn.us/DocumentCenter/View/25499/September-2023-2023" TargetMode="External"/><Relationship Id="rId146" Type="http://schemas.openxmlformats.org/officeDocument/2006/relationships/hyperlink" Target="https://blainemn.portal.civicclerk.com/event/1034/files/report/1352" TargetMode="External"/><Relationship Id="rId7" Type="http://schemas.openxmlformats.org/officeDocument/2006/relationships/hyperlink" Target="http://www.startribune.com/foodsby-zeros-in-on-office-lunch-deliveries-carving-niche-amid-a-boom/514311862/" TargetMode="External"/><Relationship Id="rId71" Type="http://schemas.openxmlformats.org/officeDocument/2006/relationships/hyperlink" Target="https://www.startribune.com/kodak-expansion-fueled-by-765m-federal-loan-could-mean-60-jobs-in-st-paul/571933392/" TargetMode="External"/><Relationship Id="rId92" Type="http://schemas.openxmlformats.org/officeDocument/2006/relationships/hyperlink" Target="https://www.bizjournals.com/twincities/news/2020/09/03/davis-medical-office-stlouispark-groundbreaking.html" TargetMode="External"/><Relationship Id="rId2" Type="http://schemas.openxmlformats.org/officeDocument/2006/relationships/hyperlink" Target="http://www.startribune.com/apprenticeship-programs-abound-as-labor-shortage-deepens-in-minnesota/504173842/" TargetMode="External"/><Relationship Id="rId29" Type="http://schemas.openxmlformats.org/officeDocument/2006/relationships/hyperlink" Target="https://finance-commerce.com/2019/03/cottage-grove-to-get-54-million-airgas-plant/" TargetMode="External"/><Relationship Id="rId24" Type="http://schemas.openxmlformats.org/officeDocument/2006/relationships/hyperlink" Target="https://www.businesswire.com/news/home/20190130005080/en/ARYZTA-Announces-Cookie-Line-Extension-Chaska-MN" TargetMode="External"/><Relationship Id="rId40" Type="http://schemas.openxmlformats.org/officeDocument/2006/relationships/hyperlink" Target="https://www.bizjournals.com/twincities/news/2020/04/10/for-tech-firms-still-hiring-slump-has-put-top.html" TargetMode="External"/><Relationship Id="rId45" Type="http://schemas.openxmlformats.org/officeDocument/2006/relationships/hyperlink" Target="https://finance-commerce.com/2020/04/kurita-moving-to-brooklyn-park/" TargetMode="External"/><Relationship Id="rId66" Type="http://schemas.openxmlformats.org/officeDocument/2006/relationships/hyperlink" Target="https://www.keyc.com/2020/01/28/mankato-city-council-approves-submission-redevelopment-grant-sibley-parkway-winery-project/" TargetMode="External"/><Relationship Id="rId87" Type="http://schemas.openxmlformats.org/officeDocument/2006/relationships/hyperlink" Target="https://www.bizjournals.com/twincities/news/2020/08/06/best-places-to-work-2020-sageglass.html" TargetMode="External"/><Relationship Id="rId110" Type="http://schemas.openxmlformats.org/officeDocument/2006/relationships/hyperlink" Target="https://finance-commerce.com/2022/02/just-sold-jonny-pops-owners-buy-elk-river-plant/" TargetMode="External"/><Relationship Id="rId115" Type="http://schemas.openxmlformats.org/officeDocument/2006/relationships/hyperlink" Target="https://www.bizjournals.com/twincities/news/2022/02/08/imprint-engine-expansion-brooklyn-center.html" TargetMode="External"/><Relationship Id="rId131" Type="http://schemas.openxmlformats.org/officeDocument/2006/relationships/hyperlink" Target="https://www.bloomingtonmn.gov/bldg/permit-status-inspection-results-monthly-building-reports" TargetMode="External"/><Relationship Id="rId136" Type="http://schemas.openxmlformats.org/officeDocument/2006/relationships/hyperlink" Target="https://www.bloomingtonmn.gov/bldg/permit-status-inspection-results-monthly-building-reports" TargetMode="External"/><Relationship Id="rId61" Type="http://schemas.openxmlformats.org/officeDocument/2006/relationships/hyperlink" Target="https://www.newsbreak.com/minnesota/willmar/news/1593016537763/jennie-o-turkey-store-hiring-95-additional-employees-offering-signing-bonuses" TargetMode="External"/><Relationship Id="rId82" Type="http://schemas.openxmlformats.org/officeDocument/2006/relationships/hyperlink" Target="https://www.bizjournals.com/twincities/news/2020/08/14/bind-benefits-insurance-enrollment-period-double.html" TargetMode="External"/><Relationship Id="rId152" Type="http://schemas.openxmlformats.org/officeDocument/2006/relationships/hyperlink" Target="https://www.bloomingtonmn.gov/bldg/permit-status-inspection-results-monthly-building-reports" TargetMode="External"/><Relationship Id="rId19" Type="http://schemas.openxmlformats.org/officeDocument/2006/relationships/hyperlink" Target="https://springbrooknaturecenter.org/AgendaCenter/ViewFile/Agenda/_05132019-311" TargetMode="External"/><Relationship Id="rId14" Type="http://schemas.openxmlformats.org/officeDocument/2006/relationships/hyperlink" Target="http://tcbmag.com/news/articles/2019/march/hvac-manufacturer-daikin-announces-second-expansion-in-six-months" TargetMode="External"/><Relationship Id="rId30" Type="http://schemas.openxmlformats.org/officeDocument/2006/relationships/hyperlink" Target="https://www.bizjournals.com/twincities/news/2019/03/19/after-sale-to-private-equity-jamf-has-kept-growth.html" TargetMode="External"/><Relationship Id="rId35" Type="http://schemas.openxmlformats.org/officeDocument/2006/relationships/hyperlink" Target="http://www.startribune.com/jbs-buys-nearly-shuttered-pipestone-minn-meat-plant-preserving-130-jobs/565750952/" TargetMode="External"/><Relationship Id="rId56" Type="http://schemas.openxmlformats.org/officeDocument/2006/relationships/hyperlink" Target="https://www.sctimes.com/story/money/business/2020/05/01/microbiologics-expands-make-room-work-supporting-personalized-medicine-st-cloud/3039475001/?utm_source=sctimes-Daily%20Briefing&amp;utm_medium=email&amp;utm_campaign=daily_briefing&amp;utm_term=list_article_thumb" TargetMode="External"/><Relationship Id="rId77" Type="http://schemas.openxmlformats.org/officeDocument/2006/relationships/hyperlink" Target="https://mn.gov/deed/newscenter/press-releases/" TargetMode="External"/><Relationship Id="rId100" Type="http://schemas.openxmlformats.org/officeDocument/2006/relationships/hyperlink" Target="https://www.bloomingtonmn.gov/bldg/permit-status-inspection-results-monthly-building-reports" TargetMode="External"/><Relationship Id="rId105" Type="http://schemas.openxmlformats.org/officeDocument/2006/relationships/hyperlink" Target="https://www.bizjournals.com/twincities/news/2021/03/01/nordic-ware-cafe-warehouse-expansion-building-9.html" TargetMode="External"/><Relationship Id="rId126" Type="http://schemas.openxmlformats.org/officeDocument/2006/relationships/hyperlink" Target="https://www.mesabitribune.com/news/local/keetac-picked-by-u-s-steel-as-dr-grade-pellet-site/article_b76ab834-0ed0-11ed-9ba8-fb6c6b46752f.html" TargetMode="External"/><Relationship Id="rId147" Type="http://schemas.openxmlformats.org/officeDocument/2006/relationships/hyperlink" Target="https://www.bizjournals.com/twincities/news/2024/05/09/tkda-headquarters-st-paul-bloomington.html" TargetMode="External"/><Relationship Id="rId8" Type="http://schemas.openxmlformats.org/officeDocument/2006/relationships/hyperlink" Target="https://finance-commerce.com/2019/10/carver-county-aggregate-distribution-facility-pitched/" TargetMode="External"/><Relationship Id="rId51" Type="http://schemas.openxmlformats.org/officeDocument/2006/relationships/hyperlink" Target="https://www.bizjournals.com/twincities/news/2020/06/02/bay-area-personal-shopping-service-to-cut-1-400-em.html" TargetMode="External"/><Relationship Id="rId72" Type="http://schemas.openxmlformats.org/officeDocument/2006/relationships/hyperlink" Target="https://www.americaninno.com/minne/inno-news-minne/after-receiving-local-backing-techmate-plans-midwest-expansion/?mc_cid=1ead4f79cb&amp;mc_eid=f9b059d709" TargetMode="External"/><Relationship Id="rId93" Type="http://schemas.openxmlformats.org/officeDocument/2006/relationships/hyperlink" Target="https://www.bizjournals.com/twincities/news/2020/07/14/sezzle-raises-55-million-from-its-institutional.html" TargetMode="External"/><Relationship Id="rId98" Type="http://schemas.openxmlformats.org/officeDocument/2006/relationships/hyperlink" Target="https://www.bizjournals.com/twincities/news/2020/10/13/rolls-royce-expands-power-generation-facility.html" TargetMode="External"/><Relationship Id="rId121" Type="http://schemas.openxmlformats.org/officeDocument/2006/relationships/hyperlink" Target="http://www.businessnorth.com/daily_briefing/asv-holdings-on-track-for-expansion/article_65ddad96-b1c9-11ec-a6e2-ab8821966a8a.html" TargetMode="External"/><Relationship Id="rId142" Type="http://schemas.openxmlformats.org/officeDocument/2006/relationships/hyperlink" Target="https://www.bizjournals.com/twincities/news/2023/12/08/aldevron-biotech-eden-prairie-supervalu-bluestem.html" TargetMode="External"/><Relationship Id="rId3" Type="http://schemas.openxmlformats.org/officeDocument/2006/relationships/hyperlink" Target="http://www.startribune.com/3m-s-opens-multimillion-dollar-consumer-data-lab-on-maplewood-campus/506397902/" TargetMode="External"/><Relationship Id="rId25" Type="http://schemas.openxmlformats.org/officeDocument/2006/relationships/hyperlink" Target="http://www.startribune.com/german-firm-buys-comtrol-a-manufacturer-that-survived-founder-s-legal-trouble-recession/505222132/" TargetMode="External"/><Relationship Id="rId46" Type="http://schemas.openxmlformats.org/officeDocument/2006/relationships/hyperlink" Target="https://finance-commerce.com/2020/04/just-sold-safety-gear-maker-buys-second-warehouse/" TargetMode="External"/><Relationship Id="rId67" Type="http://schemas.openxmlformats.org/officeDocument/2006/relationships/hyperlink" Target="http://herald-journal.com/archives/2020/stories/winsted-council-020420.html" TargetMode="External"/><Relationship Id="rId116" Type="http://schemas.openxmlformats.org/officeDocument/2006/relationships/hyperlink" Target="https://www.house.leg.state.mn.us/comm/docs/JB6oK3CXU024_BQCE6YFXQ.pdf" TargetMode="External"/><Relationship Id="rId137" Type="http://schemas.openxmlformats.org/officeDocument/2006/relationships/hyperlink" Target="https://www.bloomingtonmn.gov/bldg/permit-status-inspection-results-monthly-building-reports" TargetMode="External"/><Relationship Id="rId20" Type="http://schemas.openxmlformats.org/officeDocument/2006/relationships/hyperlink" Target="https://www.bizjournals.com/twincities/news/2019/08/28/microelectronics-maker-will-expand-bloomington.html" TargetMode="External"/><Relationship Id="rId41" Type="http://schemas.openxmlformats.org/officeDocument/2006/relationships/hyperlink" Target="http://tcbmag.com/news/articles/2020/april/twin-cities-gourmet-popcorn-brand-pops-into-partnership-with-edible-arrangements" TargetMode="External"/><Relationship Id="rId62" Type="http://schemas.openxmlformats.org/officeDocument/2006/relationships/hyperlink" Target="https://www.cityofcottonwoodmn.com/vertical/sites/%7BE0FDF809-1956-4DF5-8E65-A031493D88F5%7D/uploads/April_21_2020_Council_Minutes.pdf" TargetMode="External"/><Relationship Id="rId83" Type="http://schemas.openxmlformats.org/officeDocument/2006/relationships/hyperlink" Target="https://www.bizjournals.com/twincities/news/2020/08/10/us-army-corps-of-engineers-first-national-bank.html" TargetMode="External"/><Relationship Id="rId88" Type="http://schemas.openxmlformats.org/officeDocument/2006/relationships/hyperlink" Target="https://www.bizjournals.com/twincities/news/2020/08/05/best-places-to-work-2020-arctic-wolf.html" TargetMode="External"/><Relationship Id="rId111" Type="http://schemas.openxmlformats.org/officeDocument/2006/relationships/hyperlink" Target="https://ccxmedia.org/news/boston-scientific-plans-to-add-new-maple-grove-building/" TargetMode="External"/><Relationship Id="rId132" Type="http://schemas.openxmlformats.org/officeDocument/2006/relationships/hyperlink" Target="https://finance-commerce.com/2023/04/lockheed-martin-entity-looks-to-expand-in-twin-cities/" TargetMode="External"/><Relationship Id="rId153" Type="http://schemas.openxmlformats.org/officeDocument/2006/relationships/hyperlink" Target="https://www.bloomingtonmn.gov/bldg/permit-status-inspection-results-monthly-building-reports" TargetMode="External"/><Relationship Id="rId15" Type="http://schemas.openxmlformats.org/officeDocument/2006/relationships/hyperlink" Target="https://www.stevenscountytimes.com/news/government-and-politics/4583528-carrot-washing-plant-seeks-site-near-morris-zoning-hearings-set" TargetMode="External"/><Relationship Id="rId36" Type="http://schemas.openxmlformats.org/officeDocument/2006/relationships/hyperlink" Target="https://www.bizjournals.com/twincities/news/2020/04/01/e-commerce-site-wants-to-hire-dozens-because-of.html" TargetMode="External"/><Relationship Id="rId57" Type="http://schemas.openxmlformats.org/officeDocument/2006/relationships/hyperlink" Target="https://kstp.com/business/creating-jobs-during-covid-19-pandemic-in-smaller-minnesota-communities/5697899/" TargetMode="External"/><Relationship Id="rId106" Type="http://schemas.openxmlformats.org/officeDocument/2006/relationships/hyperlink" Target="https://www.bizjournals.com/twincities/news/2021/03/10/all-integrated-solutions-larger-distribution-cente.html" TargetMode="External"/><Relationship Id="rId127" Type="http://schemas.openxmlformats.org/officeDocument/2006/relationships/hyperlink" Target="https://ccxmedia.org/news/walgreens-plans-brooklyn-park-facility-to-speed-up-prescription-delivery/" TargetMode="External"/><Relationship Id="rId10" Type="http://schemas.openxmlformats.org/officeDocument/2006/relationships/hyperlink" Target="https://www.bizjournals.com/twincities/news/2019/01/29/boom-island-brewing-will-move-from-north.html" TargetMode="External"/><Relationship Id="rId31" Type="http://schemas.openxmlformats.org/officeDocument/2006/relationships/hyperlink" Target="https://www.brooklynpark.org/wp-content/uploads/2019/09/ccep012819rm.pdf%20%20(page%20238-)" TargetMode="External"/><Relationship Id="rId52" Type="http://schemas.openxmlformats.org/officeDocument/2006/relationships/hyperlink" Target="https://www.bizjournals.com/twincities/news/2020/06/15/wiplfi-moving-from-edina-lake-elmo-to-minneapolis.html" TargetMode="External"/><Relationship Id="rId73" Type="http://schemas.openxmlformats.org/officeDocument/2006/relationships/hyperlink" Target="https://www.startribune.com/with-switch-to-quarantine-style-twin-cities-retailers-left-with-unsold-clothes/571896912/" TargetMode="External"/><Relationship Id="rId78" Type="http://schemas.openxmlformats.org/officeDocument/2006/relationships/hyperlink" Target="https://finance-commerce.com/2020/07/just-sold-retail-tech-finishes-new-building-sells-old-one/" TargetMode="External"/><Relationship Id="rId94" Type="http://schemas.openxmlformats.org/officeDocument/2006/relationships/hyperlink" Target="https://www.bizjournals.com/twincities/news/2020/07/01/dispatch-raises-11-million.html" TargetMode="External"/><Relationship Id="rId99" Type="http://schemas.openxmlformats.org/officeDocument/2006/relationships/hyperlink" Target="https://www.bloomingtonmn.gov/bldg/permit-status-inspection-results-monthly-building-reports" TargetMode="External"/><Relationship Id="rId101" Type="http://schemas.openxmlformats.org/officeDocument/2006/relationships/hyperlink" Target="https://gcc01.safelinks.protection.outlook.com/?url=https%3A%2F%2Fbit.ly%2F33wTacP&amp;data=04%7C01%7Cthu-mai.ho-kim%40state.mn.us%7Ca0c1a6b9e7504257229e08d8958a528b%7Ceb14b04624c445198f26b89c2159828c%7C0%7C0%7C637423768602340343%7CUnknown%7CTWFpbGZsb3d8eyJWIjoiMC4wLjAwMDAiLCJQIjoiV2luMzIiLCJBTiI6Ik1haWwiLCJXVCI6Mn0%3D%7C1000&amp;sdata=MuHXzlrwpeucgB15aD3hT6LYufkhUCGZGMd3n7mWia0%3D&amp;reserved=0" TargetMode="External"/><Relationship Id="rId122" Type="http://schemas.openxmlformats.org/officeDocument/2006/relationships/hyperlink" Target="http://www.businessnorth.com/daily_briefing/cirrus-unveils-painting-addition-to-duluth-facilities/article_95cf8f22-0473-11ed-a50e-87323255cc4e.html" TargetMode="External"/><Relationship Id="rId143" Type="http://schemas.openxmlformats.org/officeDocument/2006/relationships/hyperlink" Target="https://www.startribune.com/facebook-parent-meta-plans-700m-data-center-for-rosemount-xcel-energy-university-minnesota-google/600301527/" TargetMode="External"/><Relationship Id="rId148" Type="http://schemas.openxmlformats.org/officeDocument/2006/relationships/hyperlink" Target="https://www.bizjournals.com/twincities/news/2024/06/13/golden-valley-business-real-estate-industrial.html" TargetMode="External"/><Relationship Id="rId4" Type="http://schemas.openxmlformats.org/officeDocument/2006/relationships/hyperlink" Target="https://www.echopress.com/news/4589707-alexandria-industries-plans-18m-expansion" TargetMode="External"/><Relationship Id="rId9" Type="http://schemas.openxmlformats.org/officeDocument/2006/relationships/hyperlink" Target="http://www.startribune.com/sun-country-will-start-cargo-service-with-a-big-first-customer-amazon/566286912/" TargetMode="External"/><Relationship Id="rId26" Type="http://schemas.openxmlformats.org/officeDocument/2006/relationships/hyperlink" Target="http://tcbmag.com/news/articles/2019/january/the-riveter-co-working-aimed-at-women-set-to-open-in-twin-cities" TargetMode="External"/><Relationship Id="rId47" Type="http://schemas.openxmlformats.org/officeDocument/2006/relationships/hyperlink" Target="https://www.bizjournals.com/twincities/news/2020/05/13/fedex-plans-expansion-of-lakeville-facility.html" TargetMode="External"/><Relationship Id="rId68" Type="http://schemas.openxmlformats.org/officeDocument/2006/relationships/hyperlink" Target="https://www.coonrapidsmn.gov/ArchiveCenter/ViewFile/Item/931" TargetMode="External"/><Relationship Id="rId89" Type="http://schemas.openxmlformats.org/officeDocument/2006/relationships/hyperlink" Target="https://www.bizjournals.com/twincities/news/2020/08/05/best-places-to-work-2020-phdata.html" TargetMode="External"/><Relationship Id="rId112" Type="http://schemas.openxmlformats.org/officeDocument/2006/relationships/hyperlink" Target="https://www.bizjournals.com/twincities/inno/stories/fundings/2022/01/31/inspectario-series-b-supply-chain-software.html" TargetMode="External"/><Relationship Id="rId133" Type="http://schemas.openxmlformats.org/officeDocument/2006/relationships/hyperlink" Target="https://www.bizjournals.com/twincities/news/2023/04/21/xcel-heights-hillcrest-service-center.html" TargetMode="External"/><Relationship Id="rId154" Type="http://schemas.openxmlformats.org/officeDocument/2006/relationships/hyperlink" Target="https://www.bloomingtonmn.gov/bldg/permit-status-inspection-results-monthly-building-reports" TargetMode="External"/><Relationship Id="rId16" Type="http://schemas.openxmlformats.org/officeDocument/2006/relationships/hyperlink" Target="http://www.startribune.com/unitedhealth-grows-digital-health-business-in-minneapolis/508838842/" TargetMode="External"/><Relationship Id="rId37" Type="http://schemas.openxmlformats.org/officeDocument/2006/relationships/hyperlink" Target="https://www.startribune.com/food-packaging-needs-because-of-coronavirus-keep-st-cloud-factory-strong/569411952/" TargetMode="External"/><Relationship Id="rId58" Type="http://schemas.openxmlformats.org/officeDocument/2006/relationships/hyperlink" Target="https://gcc01.safelinks.protection.outlook.com/?url=http%3A%2F%2Fstrib.mn%2F3cj96AZ&amp;data=02%7C01%7Cthu-mai.ho-kim%40state.mn.us%7Ccd8563ba98f14c834e9808d817ca1290%7Ceb14b04624c445198f26b89c2159828c%7C0%7C0%7C637285503953117272&amp;sdata=8R7i4uGe5%2FviqJDCtbgAS5oClVbIzwMg6OjJVc%2Fe1ZA%3D&amp;reserved=0" TargetMode="External"/><Relationship Id="rId79" Type="http://schemas.openxmlformats.org/officeDocument/2006/relationships/hyperlink" Target="https://finance-commerce.com/2020/07/just-sold-royal-pet-pays-3-2-million-for-hastings-plant/" TargetMode="External"/><Relationship Id="rId102" Type="http://schemas.openxmlformats.org/officeDocument/2006/relationships/hyperlink" Target="https://gcc01.safelinks.protection.outlook.com/?url=https%3A%2F%2Fbit.ly%2F3fQBPAy&amp;data=04%7C01%7Cthu-mai.ho-kim%40state.mn.us%7Cdeb823def3fa43b813d208d89724f15c%7Ceb14b04624c445198f26b89c2159828c%7C0%7C0%7C637425532215908109%7CUnknown%7CTWFpbGZsb3d8eyJWIjoiMC4wLjAwMDAiLCJQIjoiV2luMzIiLCJBTiI6Ik1haWwiLCJXVCI6Mn0%3D%7C1000&amp;sdata=vRl4loOoDT3y26%2FVo0JD6AHK0RnEzU2U3zqTMK%2Fo%2Bmo%3D&amp;reserved=0" TargetMode="External"/><Relationship Id="rId123" Type="http://schemas.openxmlformats.org/officeDocument/2006/relationships/hyperlink" Target="https://www.bloomingtonmn.gov/bldg/permit-status-inspection-results-monthly-building-reports" TargetMode="External"/><Relationship Id="rId144" Type="http://schemas.openxmlformats.org/officeDocument/2006/relationships/hyperlink" Target="https://mn.gov/deed/about/meetings-events/public-meetings.jsp?trumbaEmbed=view%3Devent%26eventid%3D166790285" TargetMode="External"/><Relationship Id="rId90" Type="http://schemas.openxmlformats.org/officeDocument/2006/relationships/hyperlink" Target="https://www.bizjournals.com/twincities/news/2020/08/05/best-places-to-work-2020-lockton-cos.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W1250"/>
  <sheetViews>
    <sheetView tabSelected="1" topLeftCell="F1" zoomScaleNormal="100" workbookViewId="0">
      <selection activeCell="N1207" sqref="N1207"/>
    </sheetView>
  </sheetViews>
  <sheetFormatPr defaultColWidth="8.7109375" defaultRowHeight="15"/>
  <cols>
    <col min="1" max="1" width="11.42578125" style="2" customWidth="1"/>
    <col min="2" max="2" width="13" style="42" customWidth="1"/>
    <col min="3" max="3" width="42.42578125" style="2" customWidth="1"/>
    <col min="4" max="4" width="12.5703125" style="2" customWidth="1"/>
    <col min="5" max="5" width="11.5703125" style="2" customWidth="1"/>
    <col min="6" max="6" width="15.7109375" style="2" customWidth="1"/>
    <col min="7" max="7" width="45.28515625" style="2" customWidth="1"/>
    <col min="8" max="8" width="12.28515625" style="2" customWidth="1"/>
    <col min="9" max="9" width="15.5703125" style="5" customWidth="1"/>
    <col min="10" max="10" width="13.5703125" style="5" customWidth="1"/>
    <col min="11" max="11" width="8.85546875" style="2" customWidth="1"/>
    <col min="12" max="12" width="17.28515625" style="5" customWidth="1"/>
    <col min="13" max="13" width="23.7109375" style="2" customWidth="1"/>
    <col min="14" max="14" width="33.85546875" style="2" customWidth="1"/>
    <col min="15" max="15" width="50.42578125" style="2" customWidth="1"/>
    <col min="16" max="16" width="19.5703125" style="2" customWidth="1"/>
    <col min="17" max="17" width="32" style="2" customWidth="1"/>
    <col min="18" max="18" width="8.85546875" style="2" customWidth="1"/>
    <col min="19" max="19" width="13.7109375" style="2" customWidth="1"/>
    <col min="20" max="20" width="11.28515625" style="2" customWidth="1"/>
    <col min="21" max="23" width="21.140625" style="2" customWidth="1"/>
    <col min="24" max="29" width="8.7109375" style="2"/>
    <col min="30" max="30" width="8.85546875" style="2" bestFit="1" customWidth="1"/>
    <col min="31" max="16384" width="8.7109375" style="2"/>
  </cols>
  <sheetData>
    <row r="1" spans="1:30" s="46" customFormat="1">
      <c r="A1" s="116" t="s">
        <v>0</v>
      </c>
      <c r="B1" s="117" t="s">
        <v>1</v>
      </c>
      <c r="C1" s="116" t="s">
        <v>2</v>
      </c>
      <c r="D1" s="116" t="s">
        <v>3</v>
      </c>
      <c r="E1" s="116" t="s">
        <v>4</v>
      </c>
      <c r="F1" s="116" t="s">
        <v>5</v>
      </c>
      <c r="G1" s="116" t="s">
        <v>6</v>
      </c>
      <c r="H1" s="116" t="s">
        <v>7</v>
      </c>
      <c r="I1" s="118" t="s">
        <v>8</v>
      </c>
      <c r="J1" s="118" t="s">
        <v>9</v>
      </c>
      <c r="K1" s="46" t="s">
        <v>10</v>
      </c>
      <c r="L1" s="118" t="s">
        <v>11</v>
      </c>
      <c r="M1" s="116" t="s">
        <v>12</v>
      </c>
      <c r="N1" s="116" t="s">
        <v>13</v>
      </c>
      <c r="O1" s="116" t="s">
        <v>14</v>
      </c>
      <c r="P1" s="116" t="s">
        <v>15</v>
      </c>
      <c r="Q1" s="116" t="s">
        <v>16</v>
      </c>
      <c r="R1" s="47" t="s">
        <v>17</v>
      </c>
      <c r="S1" s="119" t="s">
        <v>18</v>
      </c>
      <c r="T1" s="120" t="s">
        <v>19</v>
      </c>
      <c r="U1" s="116" t="s">
        <v>20</v>
      </c>
      <c r="V1" s="121" t="s">
        <v>21</v>
      </c>
      <c r="W1" s="122" t="s">
        <v>22</v>
      </c>
      <c r="X1" s="116" t="s">
        <v>23</v>
      </c>
      <c r="Y1" s="116" t="s">
        <v>24</v>
      </c>
      <c r="Z1" s="116" t="s">
        <v>25</v>
      </c>
      <c r="AA1" s="116" t="s">
        <v>26</v>
      </c>
      <c r="AB1" s="116" t="s">
        <v>27</v>
      </c>
      <c r="AC1" s="116" t="s">
        <v>28</v>
      </c>
      <c r="AD1" s="46" t="s">
        <v>29</v>
      </c>
    </row>
    <row r="2" spans="1:30" hidden="1">
      <c r="A2" s="1" t="s">
        <v>30</v>
      </c>
      <c r="B2" s="3">
        <v>43102</v>
      </c>
      <c r="C2" s="1" t="s">
        <v>31</v>
      </c>
      <c r="D2" s="1" t="s">
        <v>32</v>
      </c>
      <c r="E2" s="1" t="s">
        <v>33</v>
      </c>
      <c r="F2" s="1" t="s">
        <v>34</v>
      </c>
      <c r="G2" s="2" t="s">
        <v>35</v>
      </c>
      <c r="H2" s="1" t="s">
        <v>36</v>
      </c>
      <c r="I2" s="6">
        <v>32000000</v>
      </c>
      <c r="J2" s="4"/>
      <c r="L2" s="4"/>
      <c r="M2" s="1"/>
      <c r="N2" s="1" t="s">
        <v>37</v>
      </c>
      <c r="O2" s="1" t="s">
        <v>38</v>
      </c>
      <c r="Q2" s="1"/>
      <c r="R2" s="2">
        <v>56201</v>
      </c>
      <c r="S2" s="44">
        <v>45.147103999999999</v>
      </c>
      <c r="T2" s="45">
        <v>-94.977722999999997</v>
      </c>
      <c r="U2" s="1"/>
      <c r="V2" s="1"/>
      <c r="W2" s="1"/>
      <c r="X2" s="1"/>
      <c r="Y2" s="1" t="s">
        <v>39</v>
      </c>
      <c r="Z2" s="1" t="s">
        <v>40</v>
      </c>
      <c r="AA2" s="1" t="s">
        <v>34</v>
      </c>
      <c r="AB2" s="1"/>
      <c r="AC2" s="2" t="s">
        <v>41</v>
      </c>
      <c r="AD2" s="2">
        <f t="shared" ref="AD2:AD65" si="0">YEAR(B2)</f>
        <v>2018</v>
      </c>
    </row>
    <row r="3" spans="1:30" hidden="1">
      <c r="A3" s="1" t="s">
        <v>30</v>
      </c>
      <c r="B3" s="3">
        <v>43102</v>
      </c>
      <c r="C3" s="1" t="s">
        <v>42</v>
      </c>
      <c r="D3" s="1" t="s">
        <v>43</v>
      </c>
      <c r="E3" s="1" t="s">
        <v>44</v>
      </c>
      <c r="F3" s="1" t="s">
        <v>34</v>
      </c>
      <c r="G3" s="2" t="s">
        <v>45</v>
      </c>
      <c r="H3" s="1" t="s">
        <v>46</v>
      </c>
      <c r="I3" s="6">
        <v>10000000</v>
      </c>
      <c r="J3" s="4">
        <v>23</v>
      </c>
      <c r="L3" s="4">
        <v>20000</v>
      </c>
      <c r="M3" s="1" t="s">
        <v>47</v>
      </c>
      <c r="N3" s="1" t="s">
        <v>48</v>
      </c>
      <c r="O3" s="1" t="s">
        <v>49</v>
      </c>
      <c r="Q3" s="1" t="s">
        <v>50</v>
      </c>
      <c r="R3" s="2">
        <v>55082</v>
      </c>
      <c r="S3" s="44">
        <v>45.038933</v>
      </c>
      <c r="T3" s="45">
        <v>-92.831406999999999</v>
      </c>
      <c r="U3" s="1"/>
      <c r="V3" s="1"/>
      <c r="W3" s="1"/>
      <c r="X3" s="1"/>
      <c r="Y3" s="1"/>
      <c r="Z3" s="1"/>
      <c r="AA3" s="1"/>
      <c r="AB3" s="1"/>
      <c r="AC3" s="2" t="s">
        <v>51</v>
      </c>
      <c r="AD3" s="2">
        <f t="shared" si="0"/>
        <v>2018</v>
      </c>
    </row>
    <row r="4" spans="1:30" hidden="1">
      <c r="A4" s="1" t="s">
        <v>30</v>
      </c>
      <c r="B4" s="3">
        <v>43102</v>
      </c>
      <c r="C4" s="1" t="s">
        <v>52</v>
      </c>
      <c r="D4" s="1" t="s">
        <v>53</v>
      </c>
      <c r="E4" s="1" t="s">
        <v>54</v>
      </c>
      <c r="F4" s="1" t="s">
        <v>34</v>
      </c>
      <c r="G4" s="2" t="s">
        <v>55</v>
      </c>
      <c r="H4" s="1" t="s">
        <v>56</v>
      </c>
      <c r="I4" s="6">
        <v>8350000</v>
      </c>
      <c r="J4" s="4">
        <v>40</v>
      </c>
      <c r="L4" s="4">
        <v>42600</v>
      </c>
      <c r="M4" s="1" t="s">
        <v>57</v>
      </c>
      <c r="N4" s="1" t="s">
        <v>48</v>
      </c>
      <c r="O4" s="1" t="s">
        <v>58</v>
      </c>
      <c r="Q4" s="1" t="s">
        <v>59</v>
      </c>
      <c r="R4" s="2">
        <v>55318</v>
      </c>
      <c r="S4" s="2">
        <v>44.846569000000002</v>
      </c>
      <c r="T4" s="2">
        <v>-93.593965999999995</v>
      </c>
      <c r="U4" s="1" t="s">
        <v>60</v>
      </c>
      <c r="V4" s="1"/>
      <c r="W4" s="1"/>
      <c r="X4" s="1"/>
      <c r="Y4" s="1" t="s">
        <v>61</v>
      </c>
      <c r="Z4" s="1" t="s">
        <v>62</v>
      </c>
      <c r="AA4" s="1" t="s">
        <v>63</v>
      </c>
      <c r="AB4" s="1"/>
      <c r="AC4" s="2" t="s">
        <v>51</v>
      </c>
      <c r="AD4" s="2">
        <f t="shared" si="0"/>
        <v>2018</v>
      </c>
    </row>
    <row r="5" spans="1:30" hidden="1">
      <c r="A5" s="1" t="s">
        <v>30</v>
      </c>
      <c r="B5" s="3">
        <v>43103</v>
      </c>
      <c r="C5" s="1" t="s">
        <v>64</v>
      </c>
      <c r="D5" s="1" t="s">
        <v>65</v>
      </c>
      <c r="E5" s="1" t="s">
        <v>66</v>
      </c>
      <c r="F5" s="1" t="s">
        <v>34</v>
      </c>
      <c r="G5" s="2" t="s">
        <v>67</v>
      </c>
      <c r="H5" s="1" t="s">
        <v>68</v>
      </c>
      <c r="I5" s="6"/>
      <c r="J5" s="4"/>
      <c r="L5" s="4">
        <v>5200</v>
      </c>
      <c r="M5" s="1"/>
      <c r="N5" s="2" t="s">
        <v>69</v>
      </c>
      <c r="O5" s="1" t="s">
        <v>70</v>
      </c>
      <c r="Q5" s="1" t="s">
        <v>71</v>
      </c>
      <c r="R5" s="2">
        <v>55405</v>
      </c>
      <c r="S5" s="44">
        <v>44.969743999999999</v>
      </c>
      <c r="T5" s="45">
        <v>-93.317828000000006</v>
      </c>
      <c r="U5" s="1"/>
      <c r="V5" s="1"/>
      <c r="W5" s="1"/>
      <c r="X5" s="1"/>
      <c r="Y5" s="1"/>
      <c r="Z5" s="1"/>
      <c r="AA5" s="1"/>
      <c r="AB5" s="1"/>
      <c r="AC5" s="2" t="s">
        <v>51</v>
      </c>
      <c r="AD5" s="2">
        <f t="shared" si="0"/>
        <v>2018</v>
      </c>
    </row>
    <row r="6" spans="1:30" hidden="1">
      <c r="A6" s="1" t="s">
        <v>30</v>
      </c>
      <c r="B6" s="3">
        <v>43104</v>
      </c>
      <c r="C6" s="1" t="s">
        <v>72</v>
      </c>
      <c r="D6" s="1" t="s">
        <v>73</v>
      </c>
      <c r="E6" s="1" t="s">
        <v>74</v>
      </c>
      <c r="F6" s="1" t="s">
        <v>34</v>
      </c>
      <c r="G6" s="2" t="s">
        <v>75</v>
      </c>
      <c r="H6" s="1" t="s">
        <v>76</v>
      </c>
      <c r="I6" s="6"/>
      <c r="J6" s="4">
        <v>86</v>
      </c>
      <c r="K6" s="2">
        <v>35</v>
      </c>
      <c r="L6" s="4">
        <v>270000</v>
      </c>
      <c r="M6" s="1"/>
      <c r="N6" s="1" t="s">
        <v>77</v>
      </c>
      <c r="O6" s="1" t="s">
        <v>78</v>
      </c>
      <c r="Q6" s="1" t="s">
        <v>79</v>
      </c>
      <c r="R6" s="2">
        <v>55075</v>
      </c>
      <c r="S6" s="44">
        <v>44.877544999999998</v>
      </c>
      <c r="T6" s="45">
        <v>-93.023375000000001</v>
      </c>
      <c r="U6" s="1" t="s">
        <v>60</v>
      </c>
      <c r="V6" s="1"/>
      <c r="W6" s="1"/>
      <c r="X6" s="1"/>
      <c r="Y6" s="1" t="s">
        <v>80</v>
      </c>
      <c r="Z6" s="1" t="s">
        <v>81</v>
      </c>
      <c r="AA6" s="1" t="s">
        <v>82</v>
      </c>
      <c r="AB6" s="1"/>
      <c r="AC6" s="2" t="s">
        <v>51</v>
      </c>
      <c r="AD6" s="2">
        <f t="shared" si="0"/>
        <v>2018</v>
      </c>
    </row>
    <row r="7" spans="1:30" hidden="1">
      <c r="A7" s="1" t="s">
        <v>30</v>
      </c>
      <c r="B7" s="3">
        <v>43104</v>
      </c>
      <c r="C7" s="1" t="s">
        <v>83</v>
      </c>
      <c r="D7" s="1" t="s">
        <v>65</v>
      </c>
      <c r="E7" s="1" t="s">
        <v>66</v>
      </c>
      <c r="F7" s="1" t="s">
        <v>34</v>
      </c>
      <c r="G7" s="2" t="s">
        <v>84</v>
      </c>
      <c r="H7" s="1" t="s">
        <v>68</v>
      </c>
      <c r="I7" s="9"/>
      <c r="J7" s="4"/>
      <c r="L7" s="4">
        <v>48000</v>
      </c>
      <c r="M7" s="1" t="s">
        <v>85</v>
      </c>
      <c r="N7" s="1" t="s">
        <v>86</v>
      </c>
      <c r="O7" s="1" t="s">
        <v>87</v>
      </c>
      <c r="Q7" s="1" t="s">
        <v>88</v>
      </c>
      <c r="R7" s="2">
        <v>55402</v>
      </c>
      <c r="S7" s="44">
        <v>44.974508</v>
      </c>
      <c r="T7" s="45">
        <v>-93.267529999999994</v>
      </c>
      <c r="U7" s="1"/>
      <c r="V7" s="1"/>
      <c r="W7" s="1"/>
      <c r="X7" s="1"/>
      <c r="Y7" s="1"/>
      <c r="Z7" s="1"/>
      <c r="AA7" s="1"/>
      <c r="AB7" s="1"/>
      <c r="AC7" s="2" t="s">
        <v>51</v>
      </c>
      <c r="AD7" s="2">
        <f t="shared" si="0"/>
        <v>2018</v>
      </c>
    </row>
    <row r="8" spans="1:30" hidden="1">
      <c r="A8" s="1" t="s">
        <v>30</v>
      </c>
      <c r="B8" s="3">
        <v>43109</v>
      </c>
      <c r="C8" s="1" t="s">
        <v>89</v>
      </c>
      <c r="D8" s="1" t="s">
        <v>90</v>
      </c>
      <c r="E8" s="1" t="s">
        <v>91</v>
      </c>
      <c r="F8" s="1" t="s">
        <v>34</v>
      </c>
      <c r="G8" s="2" t="s">
        <v>92</v>
      </c>
      <c r="H8" s="1" t="s">
        <v>48</v>
      </c>
      <c r="I8" s="6"/>
      <c r="J8" s="4">
        <v>17</v>
      </c>
      <c r="L8" s="4">
        <v>30000</v>
      </c>
      <c r="M8" s="1" t="s">
        <v>93</v>
      </c>
      <c r="N8" s="1" t="s">
        <v>48</v>
      </c>
      <c r="O8" s="1" t="s">
        <v>94</v>
      </c>
      <c r="P8" s="1"/>
      <c r="Q8" s="1" t="s">
        <v>95</v>
      </c>
      <c r="R8" s="2">
        <v>55807</v>
      </c>
      <c r="S8" s="44">
        <v>46.726455999999999</v>
      </c>
      <c r="T8" s="45">
        <v>-92.169466</v>
      </c>
      <c r="U8" s="1" t="s">
        <v>60</v>
      </c>
      <c r="V8" s="1"/>
      <c r="W8" s="1"/>
      <c r="X8" s="1"/>
      <c r="Y8" s="1" t="s">
        <v>89</v>
      </c>
      <c r="Z8" s="1" t="s">
        <v>96</v>
      </c>
      <c r="AA8" s="1" t="s">
        <v>34</v>
      </c>
      <c r="AB8" s="1"/>
      <c r="AC8" s="1" t="s">
        <v>97</v>
      </c>
      <c r="AD8" s="2">
        <f t="shared" si="0"/>
        <v>2018</v>
      </c>
    </row>
    <row r="9" spans="1:30" hidden="1">
      <c r="A9" s="1" t="s">
        <v>30</v>
      </c>
      <c r="B9" s="3">
        <v>43111</v>
      </c>
      <c r="C9" s="1" t="s">
        <v>98</v>
      </c>
      <c r="D9" s="1" t="s">
        <v>96</v>
      </c>
      <c r="E9" s="1" t="s">
        <v>99</v>
      </c>
      <c r="F9" s="1" t="s">
        <v>34</v>
      </c>
      <c r="G9" s="2" t="s">
        <v>100</v>
      </c>
      <c r="H9" s="1" t="s">
        <v>101</v>
      </c>
      <c r="I9" s="9"/>
      <c r="J9" s="33"/>
      <c r="L9" s="4"/>
      <c r="M9" s="1" t="s">
        <v>102</v>
      </c>
      <c r="N9" s="1" t="s">
        <v>103</v>
      </c>
      <c r="O9" s="1" t="s">
        <v>104</v>
      </c>
      <c r="Q9" s="1" t="s">
        <v>105</v>
      </c>
      <c r="R9" s="2">
        <v>55102</v>
      </c>
      <c r="S9" s="44">
        <v>44.932929000000001</v>
      </c>
      <c r="T9" s="45">
        <v>-93.118967999999995</v>
      </c>
      <c r="U9" s="1"/>
      <c r="V9" s="1"/>
      <c r="W9" s="1"/>
      <c r="X9" s="1"/>
      <c r="Y9" s="1"/>
      <c r="Z9" s="1"/>
      <c r="AA9" s="1"/>
      <c r="AB9" s="1"/>
      <c r="AC9" s="2" t="s">
        <v>51</v>
      </c>
      <c r="AD9" s="2">
        <f t="shared" si="0"/>
        <v>2018</v>
      </c>
    </row>
    <row r="10" spans="1:30" hidden="1">
      <c r="A10" s="1" t="s">
        <v>30</v>
      </c>
      <c r="B10" s="3">
        <v>43111</v>
      </c>
      <c r="C10" s="1" t="s">
        <v>106</v>
      </c>
      <c r="D10" s="1" t="s">
        <v>65</v>
      </c>
      <c r="E10" s="1" t="s">
        <v>66</v>
      </c>
      <c r="F10" s="1" t="s">
        <v>34</v>
      </c>
      <c r="G10" s="2" t="s">
        <v>107</v>
      </c>
      <c r="H10" s="1" t="s">
        <v>68</v>
      </c>
      <c r="I10" s="6"/>
      <c r="J10" s="4">
        <v>14</v>
      </c>
      <c r="L10" s="4"/>
      <c r="M10" s="1" t="s">
        <v>85</v>
      </c>
      <c r="N10" s="1" t="s">
        <v>86</v>
      </c>
      <c r="O10" s="1" t="s">
        <v>108</v>
      </c>
      <c r="Q10" s="1" t="s">
        <v>109</v>
      </c>
      <c r="R10" s="2">
        <v>55416</v>
      </c>
      <c r="S10" s="44">
        <v>44.947372999999999</v>
      </c>
      <c r="T10" s="45">
        <v>-93.318464000000006</v>
      </c>
      <c r="U10" s="1"/>
      <c r="V10" s="1"/>
      <c r="W10" s="1"/>
      <c r="X10" s="1"/>
      <c r="Y10" s="1"/>
      <c r="Z10" s="1"/>
      <c r="AA10" s="1"/>
      <c r="AB10" s="1"/>
      <c r="AC10" s="2" t="s">
        <v>51</v>
      </c>
      <c r="AD10" s="2">
        <f t="shared" si="0"/>
        <v>2018</v>
      </c>
    </row>
    <row r="11" spans="1:30" hidden="1">
      <c r="A11" s="1" t="s">
        <v>30</v>
      </c>
      <c r="B11" s="3">
        <v>43120</v>
      </c>
      <c r="C11" s="1" t="s">
        <v>110</v>
      </c>
      <c r="D11" s="1" t="s">
        <v>111</v>
      </c>
      <c r="E11" s="1" t="s">
        <v>112</v>
      </c>
      <c r="F11" s="1" t="s">
        <v>34</v>
      </c>
      <c r="G11" s="2" t="s">
        <v>113</v>
      </c>
      <c r="H11" s="1" t="s">
        <v>48</v>
      </c>
      <c r="I11" s="6"/>
      <c r="J11" s="4">
        <v>22</v>
      </c>
      <c r="L11" s="4"/>
      <c r="M11" s="1" t="s">
        <v>47</v>
      </c>
      <c r="N11" s="1" t="s">
        <v>48</v>
      </c>
      <c r="O11" s="1" t="s">
        <v>114</v>
      </c>
      <c r="Q11" s="1" t="s">
        <v>115</v>
      </c>
      <c r="R11" s="2">
        <v>55901</v>
      </c>
      <c r="S11" s="44">
        <v>44.035207999999997</v>
      </c>
      <c r="T11" s="45">
        <v>-92.497909000000007</v>
      </c>
      <c r="U11" s="1" t="s">
        <v>60</v>
      </c>
      <c r="V11" s="1"/>
      <c r="W11" s="1"/>
      <c r="X11" s="1" t="s">
        <v>116</v>
      </c>
      <c r="Y11" s="1" t="s">
        <v>117</v>
      </c>
      <c r="Z11" s="1" t="s">
        <v>118</v>
      </c>
      <c r="AA11" s="1"/>
      <c r="AB11" s="1" t="s">
        <v>119</v>
      </c>
      <c r="AC11" s="2" t="s">
        <v>120</v>
      </c>
      <c r="AD11" s="2">
        <f t="shared" si="0"/>
        <v>2018</v>
      </c>
    </row>
    <row r="12" spans="1:30" hidden="1">
      <c r="A12" s="1" t="s">
        <v>30</v>
      </c>
      <c r="B12" s="3">
        <v>43124</v>
      </c>
      <c r="C12" s="1" t="s">
        <v>121</v>
      </c>
      <c r="D12" s="1" t="s">
        <v>122</v>
      </c>
      <c r="E12" s="1" t="s">
        <v>123</v>
      </c>
      <c r="F12" s="1" t="s">
        <v>34</v>
      </c>
      <c r="G12" s="2" t="s">
        <v>124</v>
      </c>
      <c r="H12" s="1" t="s">
        <v>46</v>
      </c>
      <c r="I12" s="6">
        <v>5416528</v>
      </c>
      <c r="J12" s="4">
        <v>12</v>
      </c>
      <c r="L12" s="4"/>
      <c r="M12" s="1" t="s">
        <v>125</v>
      </c>
      <c r="N12" s="1" t="s">
        <v>48</v>
      </c>
      <c r="O12" s="1" t="s">
        <v>126</v>
      </c>
      <c r="Q12" s="1" t="s">
        <v>127</v>
      </c>
      <c r="R12" s="2">
        <v>56156</v>
      </c>
      <c r="S12" s="44">
        <v>43.669119000000002</v>
      </c>
      <c r="T12" s="45">
        <v>-96.212699000000001</v>
      </c>
      <c r="U12" s="1" t="s">
        <v>60</v>
      </c>
      <c r="V12" s="1"/>
      <c r="W12" s="1"/>
      <c r="X12" s="1"/>
      <c r="Y12" s="1"/>
      <c r="Z12" s="1"/>
      <c r="AA12" s="1"/>
      <c r="AB12" s="1"/>
      <c r="AC12" s="2" t="s">
        <v>51</v>
      </c>
      <c r="AD12" s="2">
        <f t="shared" si="0"/>
        <v>2018</v>
      </c>
    </row>
    <row r="13" spans="1:30" ht="18" hidden="1">
      <c r="A13" s="1" t="s">
        <v>30</v>
      </c>
      <c r="B13" s="3">
        <v>43125</v>
      </c>
      <c r="C13" s="1" t="s">
        <v>128</v>
      </c>
      <c r="D13" s="1" t="s">
        <v>129</v>
      </c>
      <c r="E13" s="1" t="s">
        <v>91</v>
      </c>
      <c r="F13" s="1" t="s">
        <v>34</v>
      </c>
      <c r="G13" s="2" t="s">
        <v>130</v>
      </c>
      <c r="H13" s="2" t="s">
        <v>131</v>
      </c>
      <c r="I13" s="6">
        <v>5000000</v>
      </c>
      <c r="J13" s="4">
        <v>60</v>
      </c>
      <c r="L13" s="4"/>
      <c r="M13" s="1" t="s">
        <v>132</v>
      </c>
      <c r="N13" s="1" t="s">
        <v>48</v>
      </c>
      <c r="O13" s="1" t="s">
        <v>133</v>
      </c>
      <c r="Q13" s="144" t="s">
        <v>134</v>
      </c>
      <c r="R13" s="2">
        <v>55768</v>
      </c>
      <c r="S13" s="2">
        <v>47.521563</v>
      </c>
      <c r="T13" s="2">
        <v>-92.606620000000007</v>
      </c>
      <c r="U13" s="1" t="s">
        <v>60</v>
      </c>
      <c r="V13" s="1"/>
      <c r="W13" s="1"/>
      <c r="X13" s="1" t="s">
        <v>116</v>
      </c>
      <c r="Y13" s="1" t="s">
        <v>128</v>
      </c>
      <c r="Z13" s="1" t="s">
        <v>135</v>
      </c>
      <c r="AA13" s="1" t="s">
        <v>136</v>
      </c>
      <c r="AB13" s="1" t="s">
        <v>137</v>
      </c>
      <c r="AC13" s="2" t="s">
        <v>51</v>
      </c>
      <c r="AD13" s="2">
        <f t="shared" si="0"/>
        <v>2018</v>
      </c>
    </row>
    <row r="14" spans="1:30" hidden="1">
      <c r="A14" s="1" t="s">
        <v>30</v>
      </c>
      <c r="B14" s="3">
        <v>43130</v>
      </c>
      <c r="C14" s="1" t="s">
        <v>138</v>
      </c>
      <c r="D14" s="1" t="s">
        <v>65</v>
      </c>
      <c r="E14" s="1" t="s">
        <v>66</v>
      </c>
      <c r="F14" s="1" t="s">
        <v>34</v>
      </c>
      <c r="G14" s="2" t="s">
        <v>139</v>
      </c>
      <c r="H14" s="1" t="s">
        <v>68</v>
      </c>
      <c r="I14" s="6"/>
      <c r="J14" s="4">
        <v>10</v>
      </c>
      <c r="L14" s="4"/>
      <c r="M14" s="1"/>
      <c r="N14" s="1" t="s">
        <v>140</v>
      </c>
      <c r="O14" s="1" t="s">
        <v>141</v>
      </c>
      <c r="Q14" s="1" t="s">
        <v>142</v>
      </c>
      <c r="R14" s="2">
        <v>55414</v>
      </c>
      <c r="S14" s="44">
        <v>44.971912000000003</v>
      </c>
      <c r="T14" s="45">
        <v>-93.215952999999999</v>
      </c>
      <c r="U14" s="1" t="s">
        <v>143</v>
      </c>
      <c r="V14" s="1"/>
      <c r="W14" s="1"/>
      <c r="X14" s="1"/>
      <c r="Y14" s="1"/>
      <c r="Z14" s="1"/>
      <c r="AA14" s="1"/>
      <c r="AB14" s="1"/>
      <c r="AC14" s="2" t="s">
        <v>51</v>
      </c>
      <c r="AD14" s="2">
        <f t="shared" si="0"/>
        <v>2018</v>
      </c>
    </row>
    <row r="15" spans="1:30" hidden="1">
      <c r="A15" s="1" t="s">
        <v>30</v>
      </c>
      <c r="B15" s="3">
        <v>43131</v>
      </c>
      <c r="C15" s="1" t="s">
        <v>144</v>
      </c>
      <c r="D15" s="1" t="s">
        <v>145</v>
      </c>
      <c r="E15" s="1" t="s">
        <v>66</v>
      </c>
      <c r="F15" s="1" t="s">
        <v>34</v>
      </c>
      <c r="G15" s="2" t="s">
        <v>146</v>
      </c>
      <c r="H15" s="1" t="s">
        <v>147</v>
      </c>
      <c r="I15" s="9">
        <v>1100000</v>
      </c>
      <c r="J15" s="4">
        <v>43</v>
      </c>
      <c r="L15" s="4"/>
      <c r="M15" s="1" t="s">
        <v>148</v>
      </c>
      <c r="N15" s="1" t="s">
        <v>48</v>
      </c>
      <c r="O15" s="1"/>
      <c r="Q15" s="1" t="s">
        <v>149</v>
      </c>
      <c r="R15" s="2">
        <v>55428</v>
      </c>
      <c r="S15" s="44">
        <v>45.054084000000003</v>
      </c>
      <c r="T15" s="45">
        <v>-93.396889000000002</v>
      </c>
      <c r="U15" s="1"/>
      <c r="V15" s="1"/>
      <c r="W15" s="1"/>
      <c r="X15" s="1"/>
      <c r="Y15" s="1" t="s">
        <v>150</v>
      </c>
      <c r="Z15" s="1" t="s">
        <v>145</v>
      </c>
      <c r="AA15" s="1" t="s">
        <v>34</v>
      </c>
      <c r="AB15" s="1"/>
      <c r="AC15" s="2" t="s">
        <v>51</v>
      </c>
      <c r="AD15" s="2">
        <f t="shared" si="0"/>
        <v>2018</v>
      </c>
    </row>
    <row r="16" spans="1:30" hidden="1">
      <c r="A16" s="1" t="s">
        <v>30</v>
      </c>
      <c r="B16" s="3">
        <v>43131</v>
      </c>
      <c r="C16" s="1" t="s">
        <v>151</v>
      </c>
      <c r="D16" s="1" t="s">
        <v>96</v>
      </c>
      <c r="E16" s="1" t="s">
        <v>99</v>
      </c>
      <c r="F16" s="1" t="s">
        <v>34</v>
      </c>
      <c r="G16" s="2" t="s">
        <v>152</v>
      </c>
      <c r="H16" s="1" t="s">
        <v>153</v>
      </c>
      <c r="I16" s="6">
        <v>6000000</v>
      </c>
      <c r="J16" s="4"/>
      <c r="L16" s="4">
        <v>18000</v>
      </c>
      <c r="M16" s="1" t="s">
        <v>154</v>
      </c>
      <c r="N16" s="1" t="s">
        <v>86</v>
      </c>
      <c r="O16" s="1" t="s">
        <v>155</v>
      </c>
      <c r="Q16" s="1" t="s">
        <v>156</v>
      </c>
      <c r="R16" s="2">
        <v>55114</v>
      </c>
      <c r="S16" s="2">
        <v>44.970901499999997</v>
      </c>
      <c r="T16" s="2">
        <v>-93.203796400000002</v>
      </c>
      <c r="U16" s="1"/>
      <c r="V16" s="1"/>
      <c r="W16" s="1"/>
      <c r="X16" s="1"/>
      <c r="Y16" s="1"/>
      <c r="Z16" s="1"/>
      <c r="AA16" s="1"/>
      <c r="AB16" s="1"/>
      <c r="AC16" s="2" t="s">
        <v>51</v>
      </c>
      <c r="AD16" s="2">
        <f t="shared" si="0"/>
        <v>2018</v>
      </c>
    </row>
    <row r="17" spans="1:30" hidden="1">
      <c r="A17" s="1" t="s">
        <v>30</v>
      </c>
      <c r="B17" s="3">
        <v>43133</v>
      </c>
      <c r="C17" s="1" t="s">
        <v>157</v>
      </c>
      <c r="D17" s="1" t="s">
        <v>65</v>
      </c>
      <c r="E17" s="1" t="s">
        <v>66</v>
      </c>
      <c r="F17" s="1" t="s">
        <v>34</v>
      </c>
      <c r="G17" s="2" t="s">
        <v>158</v>
      </c>
      <c r="H17" s="1" t="s">
        <v>101</v>
      </c>
      <c r="I17" s="6"/>
      <c r="J17" s="4">
        <v>400</v>
      </c>
      <c r="L17" s="4"/>
      <c r="M17" s="2" t="s">
        <v>159</v>
      </c>
      <c r="N17" s="1" t="s">
        <v>86</v>
      </c>
      <c r="O17" s="1" t="s">
        <v>160</v>
      </c>
      <c r="Q17" s="1" t="s">
        <v>161</v>
      </c>
      <c r="R17" s="2">
        <v>55402</v>
      </c>
      <c r="S17" s="44">
        <v>44.974508</v>
      </c>
      <c r="T17" s="45">
        <v>-93.267529999999994</v>
      </c>
      <c r="U17" s="1"/>
      <c r="V17" s="1"/>
      <c r="W17" s="1"/>
      <c r="X17" s="1" t="s">
        <v>116</v>
      </c>
      <c r="Y17" s="1" t="s">
        <v>162</v>
      </c>
      <c r="Z17" s="1" t="s">
        <v>163</v>
      </c>
      <c r="AA17" s="1"/>
      <c r="AB17" s="1" t="s">
        <v>119</v>
      </c>
      <c r="AC17" s="2" t="s">
        <v>51</v>
      </c>
      <c r="AD17" s="2">
        <f t="shared" si="0"/>
        <v>2018</v>
      </c>
    </row>
    <row r="18" spans="1:30" hidden="1">
      <c r="A18" s="1" t="s">
        <v>30</v>
      </c>
      <c r="B18" s="3">
        <v>43137</v>
      </c>
      <c r="C18" s="1" t="s">
        <v>164</v>
      </c>
      <c r="D18" s="1" t="s">
        <v>165</v>
      </c>
      <c r="E18" s="1" t="s">
        <v>66</v>
      </c>
      <c r="F18" s="1" t="s">
        <v>34</v>
      </c>
      <c r="G18" s="2" t="s">
        <v>166</v>
      </c>
      <c r="H18" s="1" t="s">
        <v>153</v>
      </c>
      <c r="I18" s="6">
        <v>1110000</v>
      </c>
      <c r="J18" s="4">
        <v>50</v>
      </c>
      <c r="L18" s="4">
        <v>30000</v>
      </c>
      <c r="M18" s="1" t="s">
        <v>167</v>
      </c>
      <c r="N18" s="1" t="s">
        <v>48</v>
      </c>
      <c r="O18" s="1" t="s">
        <v>168</v>
      </c>
      <c r="Q18" s="1" t="s">
        <v>169</v>
      </c>
      <c r="R18" s="2">
        <v>55311</v>
      </c>
      <c r="S18" s="2">
        <v>45.085818000000003</v>
      </c>
      <c r="T18" s="2">
        <v>-93.418302999999995</v>
      </c>
      <c r="U18" s="1" t="s">
        <v>60</v>
      </c>
      <c r="V18" s="1"/>
      <c r="W18" s="1"/>
      <c r="X18" s="1" t="s">
        <v>116</v>
      </c>
      <c r="Y18" s="1" t="s">
        <v>170</v>
      </c>
      <c r="Z18" s="1" t="s">
        <v>171</v>
      </c>
      <c r="AA18" s="1"/>
      <c r="AB18" s="1" t="s">
        <v>172</v>
      </c>
      <c r="AC18" s="2" t="s">
        <v>51</v>
      </c>
      <c r="AD18" s="2">
        <f t="shared" si="0"/>
        <v>2018</v>
      </c>
    </row>
    <row r="19" spans="1:30" hidden="1">
      <c r="A19" s="1" t="s">
        <v>30</v>
      </c>
      <c r="B19" s="3">
        <v>43143</v>
      </c>
      <c r="C19" s="1" t="s">
        <v>173</v>
      </c>
      <c r="D19" s="1" t="s">
        <v>174</v>
      </c>
      <c r="E19" s="1" t="s">
        <v>66</v>
      </c>
      <c r="F19" s="1" t="s">
        <v>34</v>
      </c>
      <c r="G19" s="2" t="s">
        <v>175</v>
      </c>
      <c r="H19" s="1" t="s">
        <v>48</v>
      </c>
      <c r="I19" s="6">
        <v>29900000</v>
      </c>
      <c r="J19" s="4">
        <v>139</v>
      </c>
      <c r="L19" s="4">
        <v>50000</v>
      </c>
      <c r="M19" s="1" t="s">
        <v>57</v>
      </c>
      <c r="N19" s="1" t="s">
        <v>48</v>
      </c>
      <c r="O19" s="1" t="s">
        <v>176</v>
      </c>
      <c r="Q19" s="1" t="s">
        <v>177</v>
      </c>
      <c r="R19" s="2">
        <v>55445</v>
      </c>
      <c r="S19" s="44">
        <v>45.110162000000003</v>
      </c>
      <c r="T19" s="45">
        <v>-93.383087000000003</v>
      </c>
      <c r="U19" s="1" t="s">
        <v>60</v>
      </c>
      <c r="V19" s="1"/>
      <c r="W19" s="1"/>
      <c r="X19" s="1"/>
      <c r="Y19" s="1" t="s">
        <v>178</v>
      </c>
      <c r="Z19" s="1" t="s">
        <v>179</v>
      </c>
      <c r="AA19" s="1" t="s">
        <v>34</v>
      </c>
      <c r="AB19" s="1"/>
      <c r="AC19" s="2" t="s">
        <v>51</v>
      </c>
      <c r="AD19" s="2">
        <f t="shared" si="0"/>
        <v>2018</v>
      </c>
    </row>
    <row r="20" spans="1:30" hidden="1">
      <c r="A20" s="1" t="s">
        <v>30</v>
      </c>
      <c r="B20" s="3">
        <v>43144</v>
      </c>
      <c r="C20" s="1" t="s">
        <v>180</v>
      </c>
      <c r="D20" s="1" t="s">
        <v>181</v>
      </c>
      <c r="E20" s="1" t="s">
        <v>182</v>
      </c>
      <c r="F20" s="1" t="s">
        <v>34</v>
      </c>
      <c r="G20" s="2" t="s">
        <v>183</v>
      </c>
      <c r="H20" s="1" t="s">
        <v>46</v>
      </c>
      <c r="I20" s="6">
        <v>3000000</v>
      </c>
      <c r="J20" s="4">
        <v>30</v>
      </c>
      <c r="L20" s="4">
        <v>35000</v>
      </c>
      <c r="M20" s="1" t="s">
        <v>93</v>
      </c>
      <c r="N20" s="1" t="s">
        <v>48</v>
      </c>
      <c r="O20" s="1" t="s">
        <v>184</v>
      </c>
      <c r="Q20" s="1" t="s">
        <v>185</v>
      </c>
      <c r="R20" s="2">
        <v>56082</v>
      </c>
      <c r="S20" s="44">
        <v>44.345897999999998</v>
      </c>
      <c r="T20" s="45">
        <v>-93.956339</v>
      </c>
      <c r="U20" s="1"/>
      <c r="V20" s="1"/>
      <c r="W20" s="1"/>
      <c r="X20" s="1"/>
      <c r="Y20" s="1"/>
      <c r="Z20" s="1"/>
      <c r="AA20" s="1"/>
      <c r="AB20" s="1"/>
      <c r="AC20" s="2" t="s">
        <v>120</v>
      </c>
      <c r="AD20" s="2">
        <f t="shared" si="0"/>
        <v>2018</v>
      </c>
    </row>
    <row r="21" spans="1:30" hidden="1">
      <c r="A21" s="1" t="s">
        <v>30</v>
      </c>
      <c r="B21" s="3">
        <v>43147</v>
      </c>
      <c r="C21" s="1" t="s">
        <v>186</v>
      </c>
      <c r="D21" s="1" t="s">
        <v>65</v>
      </c>
      <c r="E21" s="1" t="s">
        <v>66</v>
      </c>
      <c r="F21" s="1" t="s">
        <v>34</v>
      </c>
      <c r="G21" s="2" t="s">
        <v>187</v>
      </c>
      <c r="H21" s="1" t="s">
        <v>188</v>
      </c>
      <c r="I21" s="6">
        <v>29200000</v>
      </c>
      <c r="J21" s="4"/>
      <c r="L21" s="4"/>
      <c r="M21" s="1"/>
      <c r="N21" s="1" t="s">
        <v>37</v>
      </c>
      <c r="O21" s="1" t="s">
        <v>189</v>
      </c>
      <c r="Q21" s="1" t="s">
        <v>190</v>
      </c>
      <c r="R21" s="2">
        <v>55407</v>
      </c>
      <c r="S21" s="44">
        <v>44.952092999999998</v>
      </c>
      <c r="T21" s="45">
        <v>-93.262611000000007</v>
      </c>
      <c r="U21" s="1"/>
      <c r="V21" s="1"/>
      <c r="W21" s="1"/>
      <c r="X21" s="1"/>
      <c r="Y21" s="1"/>
      <c r="Z21" s="1"/>
      <c r="AA21" s="1"/>
      <c r="AB21" s="1"/>
      <c r="AC21" s="2" t="s">
        <v>51</v>
      </c>
      <c r="AD21" s="2">
        <f t="shared" si="0"/>
        <v>2018</v>
      </c>
    </row>
    <row r="22" spans="1:30" hidden="1">
      <c r="A22" s="1" t="s">
        <v>30</v>
      </c>
      <c r="B22" s="3">
        <v>43147</v>
      </c>
      <c r="C22" s="1" t="s">
        <v>191</v>
      </c>
      <c r="D22" s="1" t="s">
        <v>65</v>
      </c>
      <c r="E22" s="1" t="s">
        <v>66</v>
      </c>
      <c r="F22" s="1" t="s">
        <v>34</v>
      </c>
      <c r="G22" s="2" t="s">
        <v>192</v>
      </c>
      <c r="H22" s="1" t="s">
        <v>188</v>
      </c>
      <c r="I22" s="6">
        <v>10000000</v>
      </c>
      <c r="J22" s="4"/>
      <c r="L22" s="4"/>
      <c r="M22" s="1" t="s">
        <v>193</v>
      </c>
      <c r="N22" s="1" t="s">
        <v>103</v>
      </c>
      <c r="O22" s="1" t="s">
        <v>194</v>
      </c>
      <c r="Q22" s="1" t="s">
        <v>195</v>
      </c>
      <c r="R22" s="2">
        <v>55404</v>
      </c>
      <c r="S22" s="44">
        <v>44.962569000000002</v>
      </c>
      <c r="T22" s="45">
        <v>-93.261041000000006</v>
      </c>
      <c r="U22" s="1" t="s">
        <v>60</v>
      </c>
      <c r="V22" s="1"/>
      <c r="W22" s="1"/>
      <c r="X22" s="1"/>
      <c r="Y22" s="1"/>
      <c r="Z22" s="1"/>
      <c r="AA22" s="1"/>
      <c r="AB22" s="1"/>
      <c r="AC22" s="2" t="s">
        <v>51</v>
      </c>
      <c r="AD22" s="2">
        <f t="shared" si="0"/>
        <v>2018</v>
      </c>
    </row>
    <row r="23" spans="1:30" hidden="1">
      <c r="A23" s="1" t="s">
        <v>30</v>
      </c>
      <c r="B23" s="3">
        <v>43148</v>
      </c>
      <c r="C23" s="1" t="s">
        <v>196</v>
      </c>
      <c r="D23" s="1" t="s">
        <v>197</v>
      </c>
      <c r="E23" s="1" t="s">
        <v>99</v>
      </c>
      <c r="F23" s="1" t="s">
        <v>34</v>
      </c>
      <c r="G23" s="2" t="s">
        <v>198</v>
      </c>
      <c r="H23" s="1" t="s">
        <v>199</v>
      </c>
      <c r="I23" s="6"/>
      <c r="J23" s="4">
        <v>1</v>
      </c>
      <c r="L23" s="4"/>
      <c r="M23" s="1" t="s">
        <v>102</v>
      </c>
      <c r="N23" s="1" t="s">
        <v>103</v>
      </c>
      <c r="O23" s="1" t="s">
        <v>200</v>
      </c>
      <c r="Q23" s="1" t="s">
        <v>201</v>
      </c>
      <c r="R23" s="2">
        <v>55113</v>
      </c>
      <c r="S23" s="2">
        <v>45.019599900000003</v>
      </c>
      <c r="T23" s="2">
        <v>-93.187202499999998</v>
      </c>
      <c r="U23" s="1"/>
      <c r="V23" s="1"/>
      <c r="W23" s="1"/>
      <c r="X23" s="1"/>
      <c r="Y23" s="1"/>
      <c r="Z23" s="1"/>
      <c r="AA23" s="1"/>
      <c r="AB23" s="1"/>
      <c r="AC23" s="2" t="s">
        <v>120</v>
      </c>
      <c r="AD23" s="2">
        <f t="shared" si="0"/>
        <v>2018</v>
      </c>
    </row>
    <row r="24" spans="1:30" hidden="1">
      <c r="A24" s="1" t="s">
        <v>30</v>
      </c>
      <c r="B24" s="3">
        <v>43151</v>
      </c>
      <c r="C24" s="1" t="s">
        <v>202</v>
      </c>
      <c r="D24" s="1" t="s">
        <v>203</v>
      </c>
      <c r="E24" s="1" t="s">
        <v>74</v>
      </c>
      <c r="F24" s="1" t="s">
        <v>34</v>
      </c>
      <c r="G24" s="2" t="s">
        <v>204</v>
      </c>
      <c r="H24" s="1" t="s">
        <v>48</v>
      </c>
      <c r="I24" s="6">
        <v>560750</v>
      </c>
      <c r="J24" s="4">
        <v>10</v>
      </c>
      <c r="L24" s="4">
        <v>10000</v>
      </c>
      <c r="M24" s="1"/>
      <c r="N24" s="1" t="s">
        <v>37</v>
      </c>
      <c r="O24" s="1" t="s">
        <v>205</v>
      </c>
      <c r="Q24" s="1" t="s">
        <v>206</v>
      </c>
      <c r="R24" s="2">
        <v>55121</v>
      </c>
      <c r="S24" s="44">
        <v>44.845528999999999</v>
      </c>
      <c r="T24" s="45">
        <v>-93.134251000000006</v>
      </c>
      <c r="U24" s="1" t="s">
        <v>60</v>
      </c>
      <c r="V24" s="1"/>
      <c r="W24" s="1"/>
      <c r="X24" s="1"/>
      <c r="Y24" s="1" t="s">
        <v>207</v>
      </c>
      <c r="Z24" s="1" t="s">
        <v>208</v>
      </c>
      <c r="AA24" s="1" t="s">
        <v>209</v>
      </c>
      <c r="AB24" s="1"/>
      <c r="AC24" s="2" t="s">
        <v>51</v>
      </c>
      <c r="AD24" s="2">
        <f t="shared" si="0"/>
        <v>2018</v>
      </c>
    </row>
    <row r="25" spans="1:30" hidden="1">
      <c r="A25" s="1" t="s">
        <v>30</v>
      </c>
      <c r="B25" s="3">
        <v>43152</v>
      </c>
      <c r="C25" s="1" t="s">
        <v>210</v>
      </c>
      <c r="D25" s="1" t="s">
        <v>96</v>
      </c>
      <c r="E25" s="1" t="s">
        <v>99</v>
      </c>
      <c r="F25" s="1" t="s">
        <v>34</v>
      </c>
      <c r="G25" s="2" t="s">
        <v>211</v>
      </c>
      <c r="H25" s="1" t="s">
        <v>101</v>
      </c>
      <c r="I25" s="6"/>
      <c r="J25" s="4"/>
      <c r="L25" s="4">
        <v>10000</v>
      </c>
      <c r="M25" s="1"/>
      <c r="N25" s="2" t="s">
        <v>69</v>
      </c>
      <c r="O25" s="1" t="s">
        <v>212</v>
      </c>
      <c r="Q25" s="1" t="s">
        <v>213</v>
      </c>
      <c r="R25" s="2">
        <v>55102</v>
      </c>
      <c r="S25" s="44">
        <v>44.932929000000001</v>
      </c>
      <c r="T25" s="45">
        <v>-93.118967999999995</v>
      </c>
      <c r="U25" s="1"/>
      <c r="V25" s="1"/>
      <c r="W25" s="1"/>
      <c r="X25" s="1"/>
      <c r="Y25" s="1"/>
      <c r="Z25" s="1"/>
      <c r="AA25" s="1"/>
      <c r="AB25" s="1"/>
      <c r="AC25" s="2" t="s">
        <v>51</v>
      </c>
      <c r="AD25" s="2">
        <f t="shared" si="0"/>
        <v>2018</v>
      </c>
    </row>
    <row r="26" spans="1:30" hidden="1">
      <c r="A26" s="1" t="s">
        <v>30</v>
      </c>
      <c r="B26" s="3">
        <v>43155</v>
      </c>
      <c r="C26" s="1" t="s">
        <v>214</v>
      </c>
      <c r="D26" s="1" t="s">
        <v>65</v>
      </c>
      <c r="E26" s="1" t="s">
        <v>66</v>
      </c>
      <c r="F26" s="1" t="s">
        <v>34</v>
      </c>
      <c r="G26" s="2" t="s">
        <v>215</v>
      </c>
      <c r="H26" s="1" t="s">
        <v>68</v>
      </c>
      <c r="I26" s="6"/>
      <c r="J26" s="4">
        <v>15</v>
      </c>
      <c r="L26" s="4"/>
      <c r="M26" s="1"/>
      <c r="N26" s="1" t="s">
        <v>140</v>
      </c>
      <c r="O26" s="1" t="s">
        <v>216</v>
      </c>
      <c r="Q26" s="1" t="s">
        <v>217</v>
      </c>
      <c r="R26" s="2">
        <v>55408</v>
      </c>
      <c r="S26" s="44">
        <v>44.948520000000002</v>
      </c>
      <c r="T26" s="45">
        <v>-93.300982000000005</v>
      </c>
      <c r="U26" s="1"/>
      <c r="V26" s="1"/>
      <c r="W26" s="1"/>
      <c r="X26" s="1"/>
      <c r="Y26" s="1"/>
      <c r="Z26" s="1"/>
      <c r="AA26" s="1"/>
      <c r="AB26" s="1"/>
      <c r="AC26" s="2" t="s">
        <v>51</v>
      </c>
      <c r="AD26" s="2">
        <f t="shared" si="0"/>
        <v>2018</v>
      </c>
    </row>
    <row r="27" spans="1:30" hidden="1">
      <c r="A27" s="1" t="s">
        <v>30</v>
      </c>
      <c r="B27" s="3">
        <v>43157</v>
      </c>
      <c r="C27" s="1" t="s">
        <v>218</v>
      </c>
      <c r="D27" s="1" t="s">
        <v>219</v>
      </c>
      <c r="E27" s="1" t="s">
        <v>44</v>
      </c>
      <c r="F27" s="1" t="s">
        <v>34</v>
      </c>
      <c r="G27" s="2" t="s">
        <v>220</v>
      </c>
      <c r="H27" s="1" t="s">
        <v>221</v>
      </c>
      <c r="I27" s="6">
        <v>1600000</v>
      </c>
      <c r="J27" s="4">
        <v>21</v>
      </c>
      <c r="L27" s="4">
        <v>24000</v>
      </c>
      <c r="M27" s="1"/>
      <c r="N27" s="1" t="s">
        <v>77</v>
      </c>
      <c r="O27" s="1" t="s">
        <v>222</v>
      </c>
      <c r="Q27" s="1" t="s">
        <v>223</v>
      </c>
      <c r="R27" s="2">
        <v>55016</v>
      </c>
      <c r="S27" s="44">
        <v>44.833567000000002</v>
      </c>
      <c r="T27" s="45">
        <v>-92.952528999999998</v>
      </c>
      <c r="U27" s="1" t="s">
        <v>60</v>
      </c>
      <c r="V27" s="1"/>
      <c r="W27" s="1"/>
      <c r="X27" s="1"/>
      <c r="Y27" s="1"/>
      <c r="Z27" s="1"/>
      <c r="AA27" s="1"/>
      <c r="AB27" s="1"/>
      <c r="AC27" s="2" t="s">
        <v>51</v>
      </c>
      <c r="AD27" s="2">
        <f t="shared" si="0"/>
        <v>2018</v>
      </c>
    </row>
    <row r="28" spans="1:30" hidden="1">
      <c r="A28" s="1" t="s">
        <v>30</v>
      </c>
      <c r="B28" s="3">
        <v>43157</v>
      </c>
      <c r="C28" s="1" t="s">
        <v>224</v>
      </c>
      <c r="D28" s="1" t="s">
        <v>219</v>
      </c>
      <c r="E28" s="1" t="s">
        <v>44</v>
      </c>
      <c r="F28" s="1" t="s">
        <v>34</v>
      </c>
      <c r="G28" s="2" t="s">
        <v>225</v>
      </c>
      <c r="H28" s="1" t="s">
        <v>48</v>
      </c>
      <c r="I28" s="6"/>
      <c r="J28" s="4">
        <v>50</v>
      </c>
      <c r="L28" s="4">
        <v>161000</v>
      </c>
      <c r="M28" s="1" t="s">
        <v>226</v>
      </c>
      <c r="N28" s="1" t="s">
        <v>48</v>
      </c>
      <c r="O28" s="1" t="s">
        <v>227</v>
      </c>
      <c r="Q28" s="1" t="s">
        <v>228</v>
      </c>
      <c r="R28" s="2">
        <v>55016</v>
      </c>
      <c r="S28" s="44">
        <v>44.819305</v>
      </c>
      <c r="T28" s="45">
        <v>-92.953259000000003</v>
      </c>
      <c r="U28" s="1"/>
      <c r="V28" s="1"/>
      <c r="W28" s="1"/>
      <c r="X28" s="1"/>
      <c r="Y28" s="1"/>
      <c r="Z28" s="1"/>
      <c r="AA28" s="1"/>
      <c r="AB28" s="1"/>
      <c r="AC28" s="2" t="s">
        <v>51</v>
      </c>
      <c r="AD28" s="2">
        <f t="shared" si="0"/>
        <v>2018</v>
      </c>
    </row>
    <row r="29" spans="1:30" hidden="1">
      <c r="A29" s="1" t="s">
        <v>30</v>
      </c>
      <c r="B29" s="3">
        <v>43160</v>
      </c>
      <c r="C29" s="1" t="s">
        <v>229</v>
      </c>
      <c r="D29" s="1" t="s">
        <v>230</v>
      </c>
      <c r="E29" s="1" t="s">
        <v>231</v>
      </c>
      <c r="F29" s="1" t="s">
        <v>34</v>
      </c>
      <c r="G29" s="2" t="s">
        <v>232</v>
      </c>
      <c r="H29" s="1" t="s">
        <v>233</v>
      </c>
      <c r="I29" s="6">
        <v>5732674</v>
      </c>
      <c r="J29" s="4">
        <v>10</v>
      </c>
      <c r="L29" s="4">
        <v>14000</v>
      </c>
      <c r="M29" s="1" t="s">
        <v>47</v>
      </c>
      <c r="N29" s="1" t="s">
        <v>48</v>
      </c>
      <c r="O29" s="1" t="s">
        <v>234</v>
      </c>
      <c r="P29" s="1"/>
      <c r="Q29" s="1" t="s">
        <v>235</v>
      </c>
      <c r="R29" s="2">
        <v>56668</v>
      </c>
      <c r="S29" s="44">
        <v>48.614629000000001</v>
      </c>
      <c r="T29" s="45">
        <v>-93.348427000000001</v>
      </c>
      <c r="U29" s="1" t="s">
        <v>60</v>
      </c>
      <c r="V29" s="1"/>
      <c r="W29" s="1"/>
      <c r="X29" s="1"/>
      <c r="Y29" s="1"/>
      <c r="Z29" s="1"/>
      <c r="AA29" s="1"/>
      <c r="AB29" s="1"/>
      <c r="AC29" s="1" t="s">
        <v>97</v>
      </c>
      <c r="AD29" s="2">
        <f t="shared" si="0"/>
        <v>2018</v>
      </c>
    </row>
    <row r="30" spans="1:30" hidden="1">
      <c r="A30" s="1" t="s">
        <v>30</v>
      </c>
      <c r="B30" s="3">
        <v>43160</v>
      </c>
      <c r="C30" s="1" t="s">
        <v>236</v>
      </c>
      <c r="D30" s="1" t="s">
        <v>237</v>
      </c>
      <c r="E30" s="1" t="s">
        <v>238</v>
      </c>
      <c r="F30" s="1" t="s">
        <v>34</v>
      </c>
      <c r="G30" s="2" t="s">
        <v>239</v>
      </c>
      <c r="H30" s="1" t="s">
        <v>188</v>
      </c>
      <c r="I30" s="6">
        <v>30000000</v>
      </c>
      <c r="J30" s="4"/>
      <c r="L30" s="4">
        <v>58646</v>
      </c>
      <c r="M30" s="2" t="s">
        <v>240</v>
      </c>
      <c r="N30" s="2" t="s">
        <v>241</v>
      </c>
      <c r="O30" s="1" t="s">
        <v>242</v>
      </c>
      <c r="Q30" s="1" t="s">
        <v>243</v>
      </c>
      <c r="R30" s="2">
        <v>56468</v>
      </c>
      <c r="S30" s="44">
        <v>46.493298000000003</v>
      </c>
      <c r="T30" s="45">
        <v>-94.314336999999995</v>
      </c>
      <c r="U30" s="1"/>
      <c r="V30" s="1"/>
      <c r="W30" s="1"/>
      <c r="X30" s="1"/>
      <c r="Y30" s="1"/>
      <c r="Z30" s="1"/>
      <c r="AA30" s="1"/>
      <c r="AB30" s="1"/>
      <c r="AC30" s="2" t="s">
        <v>41</v>
      </c>
      <c r="AD30" s="2">
        <f t="shared" si="0"/>
        <v>2018</v>
      </c>
    </row>
    <row r="31" spans="1:30" hidden="1">
      <c r="A31" s="1" t="s">
        <v>30</v>
      </c>
      <c r="B31" s="3">
        <v>43160</v>
      </c>
      <c r="C31" s="1" t="s">
        <v>244</v>
      </c>
      <c r="D31" s="1" t="s">
        <v>245</v>
      </c>
      <c r="E31" s="1" t="s">
        <v>246</v>
      </c>
      <c r="F31" s="1" t="s">
        <v>34</v>
      </c>
      <c r="G31" s="2" t="s">
        <v>247</v>
      </c>
      <c r="H31" s="1" t="s">
        <v>248</v>
      </c>
      <c r="I31" s="9">
        <v>725000</v>
      </c>
      <c r="J31" s="33">
        <v>7</v>
      </c>
      <c r="L31" s="4"/>
      <c r="M31" s="1" t="s">
        <v>85</v>
      </c>
      <c r="N31" s="1" t="s">
        <v>86</v>
      </c>
      <c r="O31" s="1" t="s">
        <v>249</v>
      </c>
      <c r="Q31" s="1" t="s">
        <v>250</v>
      </c>
      <c r="R31" s="2">
        <v>56514</v>
      </c>
      <c r="S31" s="44">
        <v>46.653201000000003</v>
      </c>
      <c r="T31" s="45">
        <v>-96.420327</v>
      </c>
      <c r="U31" s="1" t="s">
        <v>60</v>
      </c>
      <c r="V31" s="1"/>
      <c r="W31" s="1"/>
      <c r="X31" s="1"/>
      <c r="Y31" s="1"/>
      <c r="Z31" s="1"/>
      <c r="AA31" s="1"/>
      <c r="AB31" s="1"/>
      <c r="AC31" s="2" t="s">
        <v>41</v>
      </c>
      <c r="AD31" s="2">
        <f t="shared" si="0"/>
        <v>2018</v>
      </c>
    </row>
    <row r="32" spans="1:30" hidden="1">
      <c r="A32" s="1" t="s">
        <v>30</v>
      </c>
      <c r="B32" s="3">
        <v>43164</v>
      </c>
      <c r="C32" s="1" t="s">
        <v>251</v>
      </c>
      <c r="D32" s="1" t="s">
        <v>65</v>
      </c>
      <c r="E32" s="1" t="s">
        <v>66</v>
      </c>
      <c r="F32" s="1" t="s">
        <v>34</v>
      </c>
      <c r="G32" s="2" t="s">
        <v>252</v>
      </c>
      <c r="H32" s="1" t="s">
        <v>68</v>
      </c>
      <c r="I32" s="6">
        <v>250000000</v>
      </c>
      <c r="J32" s="4"/>
      <c r="L32" s="4"/>
      <c r="M32" s="1"/>
      <c r="N32" s="1" t="s">
        <v>253</v>
      </c>
      <c r="O32" s="1" t="s">
        <v>254</v>
      </c>
      <c r="Q32" s="1" t="s">
        <v>255</v>
      </c>
      <c r="R32" s="2">
        <v>55403</v>
      </c>
      <c r="S32" s="2">
        <v>44.973598500000001</v>
      </c>
      <c r="T32" s="2">
        <v>-93.275703399999998</v>
      </c>
      <c r="U32" s="1"/>
      <c r="V32" s="1"/>
      <c r="W32" s="1"/>
      <c r="X32" s="1"/>
      <c r="Y32" s="1"/>
      <c r="Z32" s="1"/>
      <c r="AA32" s="1"/>
      <c r="AB32" s="1"/>
      <c r="AC32" s="2" t="s">
        <v>51</v>
      </c>
      <c r="AD32" s="2">
        <f t="shared" si="0"/>
        <v>2018</v>
      </c>
    </row>
    <row r="33" spans="1:30" hidden="1">
      <c r="A33" s="1" t="s">
        <v>30</v>
      </c>
      <c r="B33" s="3">
        <v>43165</v>
      </c>
      <c r="C33" s="1" t="s">
        <v>256</v>
      </c>
      <c r="D33" s="1" t="s">
        <v>65</v>
      </c>
      <c r="E33" s="1" t="s">
        <v>66</v>
      </c>
      <c r="F33" s="1" t="s">
        <v>34</v>
      </c>
      <c r="G33" s="2" t="s">
        <v>257</v>
      </c>
      <c r="H33" s="1" t="s">
        <v>101</v>
      </c>
      <c r="I33" s="6"/>
      <c r="J33" s="4"/>
      <c r="L33" s="4"/>
      <c r="M33" s="1"/>
      <c r="N33" s="2" t="s">
        <v>69</v>
      </c>
      <c r="O33" s="1" t="s">
        <v>258</v>
      </c>
      <c r="Q33" s="1" t="s">
        <v>259</v>
      </c>
      <c r="R33" s="2">
        <v>55402</v>
      </c>
      <c r="S33" s="44">
        <v>44.975833999999999</v>
      </c>
      <c r="T33" s="45">
        <v>-93.276589999999999</v>
      </c>
      <c r="U33" s="1"/>
      <c r="V33" s="1"/>
      <c r="W33" s="1"/>
      <c r="X33" s="1"/>
      <c r="Y33" s="1" t="s">
        <v>256</v>
      </c>
      <c r="Z33" s="1" t="s">
        <v>260</v>
      </c>
      <c r="AA33" s="1" t="s">
        <v>261</v>
      </c>
      <c r="AB33" s="1"/>
      <c r="AC33" s="2" t="s">
        <v>51</v>
      </c>
      <c r="AD33" s="2">
        <f t="shared" si="0"/>
        <v>2018</v>
      </c>
    </row>
    <row r="34" spans="1:30" hidden="1">
      <c r="A34" s="1" t="s">
        <v>30</v>
      </c>
      <c r="B34" s="3">
        <v>43167</v>
      </c>
      <c r="C34" s="1" t="s">
        <v>262</v>
      </c>
      <c r="D34" s="1" t="s">
        <v>96</v>
      </c>
      <c r="E34" s="1" t="s">
        <v>99</v>
      </c>
      <c r="F34" s="1" t="s">
        <v>34</v>
      </c>
      <c r="G34" s="2" t="s">
        <v>263</v>
      </c>
      <c r="H34" s="1" t="s">
        <v>68</v>
      </c>
      <c r="I34" s="6">
        <v>360000</v>
      </c>
      <c r="J34" s="4"/>
      <c r="L34" s="4">
        <v>10000</v>
      </c>
      <c r="M34" s="2" t="s">
        <v>159</v>
      </c>
      <c r="N34" s="1" t="s">
        <v>86</v>
      </c>
      <c r="O34" s="1" t="s">
        <v>264</v>
      </c>
      <c r="Q34" s="1"/>
      <c r="R34" s="2">
        <v>55101</v>
      </c>
      <c r="S34" s="44">
        <v>44.951483000000003</v>
      </c>
      <c r="T34" s="45">
        <v>-93.090648999999999</v>
      </c>
      <c r="U34" s="1" t="s">
        <v>60</v>
      </c>
      <c r="V34" s="1"/>
      <c r="W34" s="1"/>
      <c r="X34" s="1"/>
      <c r="Y34" s="1"/>
      <c r="Z34" s="1"/>
      <c r="AA34" s="1"/>
      <c r="AB34" s="1"/>
      <c r="AC34" s="2" t="s">
        <v>51</v>
      </c>
      <c r="AD34" s="2">
        <f t="shared" si="0"/>
        <v>2018</v>
      </c>
    </row>
    <row r="35" spans="1:30" hidden="1">
      <c r="A35" s="1" t="s">
        <v>30</v>
      </c>
      <c r="B35" s="3">
        <v>43172</v>
      </c>
      <c r="C35" s="1" t="s">
        <v>265</v>
      </c>
      <c r="D35" s="1" t="s">
        <v>65</v>
      </c>
      <c r="E35" s="1" t="s">
        <v>66</v>
      </c>
      <c r="F35" s="1" t="s">
        <v>34</v>
      </c>
      <c r="G35" s="2" t="s">
        <v>266</v>
      </c>
      <c r="H35" s="1" t="s">
        <v>68</v>
      </c>
      <c r="I35" s="6"/>
      <c r="J35" s="4"/>
      <c r="L35" s="4">
        <v>17000</v>
      </c>
      <c r="M35" s="1" t="s">
        <v>85</v>
      </c>
      <c r="N35" s="1" t="s">
        <v>86</v>
      </c>
      <c r="O35" s="1" t="s">
        <v>267</v>
      </c>
      <c r="Q35" s="1" t="s">
        <v>268</v>
      </c>
      <c r="R35" s="2">
        <v>55403</v>
      </c>
      <c r="S35" s="2">
        <v>44.979698200000001</v>
      </c>
      <c r="T35" s="2">
        <v>-93.274803199999994</v>
      </c>
      <c r="U35" s="1"/>
      <c r="V35" s="1"/>
      <c r="W35" s="1"/>
      <c r="X35" s="1"/>
      <c r="Y35" s="1"/>
      <c r="Z35" s="1"/>
      <c r="AA35" s="1"/>
      <c r="AB35" s="1"/>
      <c r="AC35" s="2" t="s">
        <v>51</v>
      </c>
      <c r="AD35" s="2">
        <f t="shared" si="0"/>
        <v>2018</v>
      </c>
    </row>
    <row r="36" spans="1:30" hidden="1">
      <c r="A36" s="1" t="s">
        <v>30</v>
      </c>
      <c r="B36" s="3">
        <v>43172</v>
      </c>
      <c r="C36" s="1" t="s">
        <v>269</v>
      </c>
      <c r="D36" s="1" t="s">
        <v>270</v>
      </c>
      <c r="E36" s="1" t="s">
        <v>99</v>
      </c>
      <c r="F36" s="1" t="s">
        <v>34</v>
      </c>
      <c r="G36" s="2" t="s">
        <v>271</v>
      </c>
      <c r="H36" s="1" t="s">
        <v>272</v>
      </c>
      <c r="I36" s="6">
        <v>3000000</v>
      </c>
      <c r="J36" s="4">
        <v>150</v>
      </c>
      <c r="L36" s="4">
        <v>30000</v>
      </c>
      <c r="M36" s="1" t="s">
        <v>167</v>
      </c>
      <c r="N36" s="1" t="s">
        <v>48</v>
      </c>
      <c r="O36" s="1" t="s">
        <v>273</v>
      </c>
      <c r="Q36" s="1" t="s">
        <v>274</v>
      </c>
      <c r="R36" s="2">
        <v>55112</v>
      </c>
      <c r="S36" s="2">
        <v>45.0564003</v>
      </c>
      <c r="T36" s="2">
        <v>-93.152900700000004</v>
      </c>
      <c r="U36" s="1"/>
      <c r="V36" s="1"/>
      <c r="W36" s="1"/>
      <c r="X36" s="1"/>
      <c r="Y36" s="1"/>
      <c r="Z36" s="1"/>
      <c r="AA36" s="1"/>
      <c r="AB36" s="1"/>
      <c r="AC36" s="2" t="s">
        <v>51</v>
      </c>
      <c r="AD36" s="2">
        <f t="shared" si="0"/>
        <v>2018</v>
      </c>
    </row>
    <row r="37" spans="1:30" hidden="1">
      <c r="A37" s="1" t="s">
        <v>30</v>
      </c>
      <c r="B37" s="3">
        <v>43175</v>
      </c>
      <c r="C37" s="1" t="s">
        <v>275</v>
      </c>
      <c r="D37" s="1" t="s">
        <v>276</v>
      </c>
      <c r="E37" s="1" t="s">
        <v>277</v>
      </c>
      <c r="F37" s="1" t="s">
        <v>34</v>
      </c>
      <c r="G37" s="2" t="s">
        <v>278</v>
      </c>
      <c r="H37" s="1" t="s">
        <v>101</v>
      </c>
      <c r="I37" s="6">
        <v>13000000</v>
      </c>
      <c r="J37" s="4">
        <v>150</v>
      </c>
      <c r="L37" s="4"/>
      <c r="M37" s="1"/>
      <c r="N37" s="1" t="s">
        <v>140</v>
      </c>
      <c r="O37" s="1" t="s">
        <v>279</v>
      </c>
      <c r="P37" s="1"/>
      <c r="Q37" s="1"/>
      <c r="R37" s="2">
        <v>56601</v>
      </c>
      <c r="S37" s="44">
        <v>47.571964000000001</v>
      </c>
      <c r="T37" s="45">
        <v>-94.801271999999997</v>
      </c>
      <c r="U37" s="1"/>
      <c r="V37" s="1"/>
      <c r="W37" s="1"/>
      <c r="X37" s="1"/>
      <c r="Y37" s="1" t="s">
        <v>275</v>
      </c>
      <c r="Z37" s="1" t="s">
        <v>65</v>
      </c>
      <c r="AA37" s="1" t="s">
        <v>34</v>
      </c>
      <c r="AB37" s="1"/>
      <c r="AC37" s="1" t="s">
        <v>97</v>
      </c>
      <c r="AD37" s="2">
        <f t="shared" si="0"/>
        <v>2018</v>
      </c>
    </row>
    <row r="38" spans="1:30" hidden="1">
      <c r="A38" s="1" t="s">
        <v>30</v>
      </c>
      <c r="B38" s="3">
        <v>43178</v>
      </c>
      <c r="C38" s="145" t="s">
        <v>280</v>
      </c>
      <c r="D38" s="1" t="s">
        <v>281</v>
      </c>
      <c r="E38" s="1" t="s">
        <v>282</v>
      </c>
      <c r="F38" s="1" t="s">
        <v>34</v>
      </c>
      <c r="G38" s="2" t="s">
        <v>283</v>
      </c>
      <c r="H38" s="1" t="s">
        <v>48</v>
      </c>
      <c r="I38" s="6"/>
      <c r="J38" s="4">
        <v>50</v>
      </c>
      <c r="L38" s="4"/>
      <c r="M38" s="1" t="s">
        <v>57</v>
      </c>
      <c r="N38" s="1" t="s">
        <v>48</v>
      </c>
      <c r="O38" s="1" t="s">
        <v>284</v>
      </c>
      <c r="P38" s="2" t="s">
        <v>285</v>
      </c>
      <c r="Q38" s="1" t="s">
        <v>286</v>
      </c>
      <c r="R38" s="2">
        <v>55350</v>
      </c>
      <c r="S38" s="44">
        <v>44.901072999999997</v>
      </c>
      <c r="T38" s="45">
        <v>-94.357286000000002</v>
      </c>
      <c r="U38" s="1" t="s">
        <v>60</v>
      </c>
      <c r="V38" s="1" t="s">
        <v>287</v>
      </c>
      <c r="W38" s="146">
        <v>353563</v>
      </c>
      <c r="X38" s="1" t="s">
        <v>116</v>
      </c>
      <c r="Y38" s="1" t="s">
        <v>288</v>
      </c>
      <c r="Z38" s="1" t="s">
        <v>289</v>
      </c>
      <c r="AA38" s="1"/>
      <c r="AB38" s="1" t="s">
        <v>290</v>
      </c>
      <c r="AC38" s="2" t="s">
        <v>41</v>
      </c>
      <c r="AD38" s="2">
        <f t="shared" si="0"/>
        <v>2018</v>
      </c>
    </row>
    <row r="39" spans="1:30" hidden="1">
      <c r="A39" s="1" t="s">
        <v>30</v>
      </c>
      <c r="B39" s="3">
        <v>43179</v>
      </c>
      <c r="C39" s="1" t="s">
        <v>291</v>
      </c>
      <c r="D39" s="1" t="s">
        <v>292</v>
      </c>
      <c r="E39" s="1" t="s">
        <v>66</v>
      </c>
      <c r="F39" s="1" t="s">
        <v>34</v>
      </c>
      <c r="G39" s="2" t="s">
        <v>293</v>
      </c>
      <c r="H39" s="1" t="s">
        <v>68</v>
      </c>
      <c r="I39" s="6"/>
      <c r="J39" s="4"/>
      <c r="L39" s="4">
        <v>6955</v>
      </c>
      <c r="M39" s="1" t="s">
        <v>294</v>
      </c>
      <c r="N39" s="1" t="s">
        <v>86</v>
      </c>
      <c r="O39" s="1" t="s">
        <v>295</v>
      </c>
      <c r="Q39" s="1" t="s">
        <v>296</v>
      </c>
      <c r="R39" s="2">
        <v>55430</v>
      </c>
      <c r="S39" s="44">
        <v>45.066693000000001</v>
      </c>
      <c r="T39" s="45">
        <v>-93.301134000000005</v>
      </c>
      <c r="U39" s="1"/>
      <c r="V39" s="1"/>
      <c r="W39" s="1"/>
      <c r="X39" s="1"/>
      <c r="Y39" s="1"/>
      <c r="Z39" s="1"/>
      <c r="AA39" s="1"/>
      <c r="AB39" s="1"/>
      <c r="AC39" s="2" t="s">
        <v>51</v>
      </c>
      <c r="AD39" s="2">
        <f t="shared" si="0"/>
        <v>2018</v>
      </c>
    </row>
    <row r="40" spans="1:30" hidden="1">
      <c r="A40" s="1" t="s">
        <v>30</v>
      </c>
      <c r="B40" s="3">
        <v>43179</v>
      </c>
      <c r="C40" s="1" t="s">
        <v>297</v>
      </c>
      <c r="D40" s="1" t="s">
        <v>65</v>
      </c>
      <c r="E40" s="1" t="s">
        <v>66</v>
      </c>
      <c r="F40" s="1" t="s">
        <v>34</v>
      </c>
      <c r="G40" s="2" t="s">
        <v>298</v>
      </c>
      <c r="H40" s="1" t="s">
        <v>101</v>
      </c>
      <c r="I40" s="6"/>
      <c r="J40" s="4"/>
      <c r="L40" s="4"/>
      <c r="M40" s="1" t="s">
        <v>299</v>
      </c>
      <c r="N40" s="1" t="s">
        <v>300</v>
      </c>
      <c r="O40" s="1" t="s">
        <v>301</v>
      </c>
      <c r="Q40" s="1" t="s">
        <v>302</v>
      </c>
      <c r="R40" s="2">
        <v>55408</v>
      </c>
      <c r="S40" s="44">
        <v>44.950549000000002</v>
      </c>
      <c r="T40" s="45">
        <v>-93.288754999999995</v>
      </c>
      <c r="U40" s="1"/>
      <c r="V40" s="1"/>
      <c r="W40" s="1"/>
      <c r="X40" s="1"/>
      <c r="Y40" s="1" t="s">
        <v>303</v>
      </c>
      <c r="Z40" s="1" t="s">
        <v>304</v>
      </c>
      <c r="AA40" s="1" t="s">
        <v>305</v>
      </c>
      <c r="AB40" s="1"/>
      <c r="AC40" s="2" t="s">
        <v>51</v>
      </c>
      <c r="AD40" s="2">
        <f t="shared" si="0"/>
        <v>2018</v>
      </c>
    </row>
    <row r="41" spans="1:30" hidden="1">
      <c r="A41" s="1" t="s">
        <v>30</v>
      </c>
      <c r="B41" s="3">
        <v>43180</v>
      </c>
      <c r="C41" s="1" t="s">
        <v>306</v>
      </c>
      <c r="D41" s="1" t="s">
        <v>111</v>
      </c>
      <c r="E41" s="1" t="s">
        <v>112</v>
      </c>
      <c r="F41" s="1" t="s">
        <v>34</v>
      </c>
      <c r="G41" s="2" t="s">
        <v>307</v>
      </c>
      <c r="H41" s="1" t="s">
        <v>46</v>
      </c>
      <c r="I41" s="6"/>
      <c r="J41" s="4"/>
      <c r="L41" s="4"/>
      <c r="M41" s="1" t="s">
        <v>167</v>
      </c>
      <c r="N41" s="1" t="s">
        <v>48</v>
      </c>
      <c r="O41" s="1" t="s">
        <v>308</v>
      </c>
      <c r="Q41" s="1" t="s">
        <v>309</v>
      </c>
      <c r="R41" s="2">
        <v>55902</v>
      </c>
      <c r="S41" s="44">
        <v>44.023049</v>
      </c>
      <c r="T41" s="45">
        <v>-92.464720999999997</v>
      </c>
      <c r="U41" s="1"/>
      <c r="V41" s="1"/>
      <c r="W41" s="1"/>
      <c r="X41" s="1"/>
      <c r="Y41" s="1"/>
      <c r="Z41" s="1"/>
      <c r="AA41" s="1"/>
      <c r="AB41" s="1"/>
      <c r="AC41" s="2" t="s">
        <v>120</v>
      </c>
      <c r="AD41" s="2">
        <f t="shared" si="0"/>
        <v>2018</v>
      </c>
    </row>
    <row r="42" spans="1:30" hidden="1">
      <c r="A42" s="1" t="s">
        <v>30</v>
      </c>
      <c r="B42" s="3">
        <v>43180</v>
      </c>
      <c r="C42" s="1" t="s">
        <v>310</v>
      </c>
      <c r="D42" s="1" t="s">
        <v>65</v>
      </c>
      <c r="E42" s="1" t="s">
        <v>66</v>
      </c>
      <c r="F42" s="1" t="s">
        <v>34</v>
      </c>
      <c r="G42" s="2" t="s">
        <v>311</v>
      </c>
      <c r="H42" s="1" t="s">
        <v>312</v>
      </c>
      <c r="I42" s="6"/>
      <c r="J42" s="4"/>
      <c r="L42" s="4"/>
      <c r="M42" s="1"/>
      <c r="N42" s="1" t="s">
        <v>313</v>
      </c>
      <c r="O42" s="1" t="s">
        <v>314</v>
      </c>
      <c r="Q42" s="1" t="s">
        <v>315</v>
      </c>
      <c r="R42" s="2">
        <v>55405</v>
      </c>
      <c r="S42" s="44">
        <v>44.980955000000002</v>
      </c>
      <c r="T42" s="45">
        <v>-93.283832000000004</v>
      </c>
      <c r="U42" s="1"/>
      <c r="V42" s="1"/>
      <c r="W42" s="1"/>
      <c r="X42" s="1"/>
      <c r="Y42" s="1"/>
      <c r="Z42" s="1"/>
      <c r="AA42" s="1"/>
      <c r="AB42" s="1"/>
      <c r="AC42" s="2" t="s">
        <v>51</v>
      </c>
      <c r="AD42" s="2">
        <f t="shared" si="0"/>
        <v>2018</v>
      </c>
    </row>
    <row r="43" spans="1:30" ht="18" hidden="1">
      <c r="A43" s="1" t="s">
        <v>30</v>
      </c>
      <c r="B43" s="3">
        <v>43182</v>
      </c>
      <c r="C43" s="1" t="s">
        <v>316</v>
      </c>
      <c r="D43" s="1" t="s">
        <v>65</v>
      </c>
      <c r="E43" s="1" t="s">
        <v>66</v>
      </c>
      <c r="F43" s="1" t="s">
        <v>34</v>
      </c>
      <c r="G43" s="2" t="s">
        <v>317</v>
      </c>
      <c r="H43" s="1" t="s">
        <v>101</v>
      </c>
      <c r="I43" s="6"/>
      <c r="J43" s="4">
        <v>2</v>
      </c>
      <c r="L43" s="4"/>
      <c r="M43" s="1" t="s">
        <v>318</v>
      </c>
      <c r="N43" s="1" t="s">
        <v>86</v>
      </c>
      <c r="O43" s="1" t="s">
        <v>319</v>
      </c>
      <c r="Q43" s="147" t="s">
        <v>320</v>
      </c>
      <c r="R43" s="2">
        <v>55402</v>
      </c>
      <c r="S43" s="44">
        <v>44.976666999999999</v>
      </c>
      <c r="T43" s="45">
        <v>-93.268377000000001</v>
      </c>
      <c r="U43" s="1"/>
      <c r="V43" s="1"/>
      <c r="W43" s="1"/>
      <c r="X43" s="1"/>
      <c r="Y43" s="1" t="s">
        <v>316</v>
      </c>
      <c r="Z43" s="1" t="s">
        <v>321</v>
      </c>
      <c r="AA43" s="1" t="s">
        <v>322</v>
      </c>
      <c r="AB43" s="1"/>
      <c r="AC43" s="2" t="s">
        <v>51</v>
      </c>
      <c r="AD43" s="2">
        <f t="shared" si="0"/>
        <v>2018</v>
      </c>
    </row>
    <row r="44" spans="1:30" hidden="1">
      <c r="A44" s="1" t="s">
        <v>30</v>
      </c>
      <c r="B44" s="3">
        <v>43185</v>
      </c>
      <c r="C44" s="1" t="s">
        <v>323</v>
      </c>
      <c r="D44" s="1" t="s">
        <v>324</v>
      </c>
      <c r="E44" s="1" t="s">
        <v>66</v>
      </c>
      <c r="F44" s="1" t="s">
        <v>34</v>
      </c>
      <c r="G44" s="2" t="s">
        <v>325</v>
      </c>
      <c r="H44" s="1" t="s">
        <v>101</v>
      </c>
      <c r="I44" s="6"/>
      <c r="J44" s="4">
        <v>20</v>
      </c>
      <c r="L44" s="4"/>
      <c r="M44" s="1" t="s">
        <v>85</v>
      </c>
      <c r="N44" s="1" t="s">
        <v>86</v>
      </c>
      <c r="O44" s="1" t="s">
        <v>326</v>
      </c>
      <c r="Q44" s="1"/>
      <c r="R44" s="2">
        <v>55401</v>
      </c>
      <c r="S44" s="44">
        <v>44.984577000000002</v>
      </c>
      <c r="T44" s="45">
        <v>-93.269097000000002</v>
      </c>
      <c r="U44" s="1" t="s">
        <v>143</v>
      </c>
      <c r="V44" s="1"/>
      <c r="W44" s="1"/>
      <c r="X44" s="1"/>
      <c r="Y44" s="1" t="s">
        <v>323</v>
      </c>
      <c r="Z44" s="1" t="s">
        <v>327</v>
      </c>
      <c r="AA44" s="1" t="s">
        <v>328</v>
      </c>
      <c r="AB44" s="1"/>
      <c r="AC44" s="2" t="s">
        <v>41</v>
      </c>
      <c r="AD44" s="2">
        <f t="shared" si="0"/>
        <v>2018</v>
      </c>
    </row>
    <row r="45" spans="1:30" hidden="1">
      <c r="A45" s="1" t="s">
        <v>30</v>
      </c>
      <c r="B45" s="3">
        <v>43187</v>
      </c>
      <c r="C45" s="1" t="s">
        <v>329</v>
      </c>
      <c r="D45" s="1" t="s">
        <v>111</v>
      </c>
      <c r="E45" s="1" t="s">
        <v>112</v>
      </c>
      <c r="F45" s="1" t="s">
        <v>34</v>
      </c>
      <c r="G45" s="2" t="s">
        <v>330</v>
      </c>
      <c r="H45" s="1" t="s">
        <v>68</v>
      </c>
      <c r="I45" s="6">
        <v>9000000</v>
      </c>
      <c r="J45" s="4">
        <v>30</v>
      </c>
      <c r="L45" s="4"/>
      <c r="M45" s="1" t="s">
        <v>167</v>
      </c>
      <c r="N45" s="1" t="s">
        <v>48</v>
      </c>
      <c r="O45" s="1" t="s">
        <v>331</v>
      </c>
      <c r="Q45" s="1" t="s">
        <v>332</v>
      </c>
      <c r="R45" s="2">
        <v>55902</v>
      </c>
      <c r="S45" s="44">
        <v>44.020932000000002</v>
      </c>
      <c r="T45" s="45">
        <v>-92.464712000000006</v>
      </c>
      <c r="U45" s="1" t="s">
        <v>60</v>
      </c>
      <c r="V45" s="1"/>
      <c r="W45" s="1"/>
      <c r="X45" s="1"/>
      <c r="Y45" s="1"/>
      <c r="Z45" s="1"/>
      <c r="AA45" s="1"/>
      <c r="AB45" s="1"/>
      <c r="AC45" s="2" t="s">
        <v>120</v>
      </c>
      <c r="AD45" s="2">
        <f t="shared" si="0"/>
        <v>2018</v>
      </c>
    </row>
    <row r="46" spans="1:30" hidden="1">
      <c r="A46" s="1" t="s">
        <v>333</v>
      </c>
      <c r="B46" s="3">
        <v>43192</v>
      </c>
      <c r="C46" s="1" t="s">
        <v>334</v>
      </c>
      <c r="D46" s="1" t="s">
        <v>53</v>
      </c>
      <c r="E46" s="1" t="s">
        <v>335</v>
      </c>
      <c r="F46" s="1" t="s">
        <v>34</v>
      </c>
      <c r="G46" s="2" t="s">
        <v>336</v>
      </c>
      <c r="H46" s="1" t="s">
        <v>68</v>
      </c>
      <c r="I46" s="6">
        <v>4740753</v>
      </c>
      <c r="J46" s="4">
        <v>30</v>
      </c>
      <c r="L46" s="4">
        <v>30000</v>
      </c>
      <c r="M46" s="1" t="s">
        <v>167</v>
      </c>
      <c r="N46" s="1" t="s">
        <v>48</v>
      </c>
      <c r="O46" s="1" t="s">
        <v>337</v>
      </c>
      <c r="Q46" s="1" t="s">
        <v>338</v>
      </c>
      <c r="R46" s="2">
        <v>55378</v>
      </c>
      <c r="S46" s="44">
        <v>44.778035000000003</v>
      </c>
      <c r="T46" s="45">
        <v>-93.386754999999994</v>
      </c>
      <c r="U46" s="1" t="s">
        <v>60</v>
      </c>
      <c r="V46" s="1"/>
      <c r="W46" s="1"/>
      <c r="X46" s="1"/>
      <c r="Y46" s="1"/>
      <c r="Z46" s="1"/>
      <c r="AA46" s="1"/>
      <c r="AB46" s="1"/>
      <c r="AC46" s="2" t="s">
        <v>51</v>
      </c>
      <c r="AD46" s="2">
        <f t="shared" si="0"/>
        <v>2018</v>
      </c>
    </row>
    <row r="47" spans="1:30" hidden="1">
      <c r="A47" s="2" t="s">
        <v>333</v>
      </c>
      <c r="B47" s="3">
        <v>43193</v>
      </c>
      <c r="C47" s="1" t="s">
        <v>339</v>
      </c>
      <c r="D47" s="1" t="s">
        <v>340</v>
      </c>
      <c r="E47" s="1" t="s">
        <v>66</v>
      </c>
      <c r="F47" s="1" t="s">
        <v>34</v>
      </c>
      <c r="G47" s="2" t="s">
        <v>341</v>
      </c>
      <c r="H47" s="1" t="s">
        <v>342</v>
      </c>
      <c r="I47" s="6"/>
      <c r="J47" s="4"/>
      <c r="L47" s="4">
        <v>38000</v>
      </c>
      <c r="M47" s="1" t="s">
        <v>93</v>
      </c>
      <c r="N47" s="1" t="s">
        <v>48</v>
      </c>
      <c r="O47" s="1" t="s">
        <v>343</v>
      </c>
      <c r="Q47" s="1" t="s">
        <v>344</v>
      </c>
      <c r="R47" s="2">
        <v>55441</v>
      </c>
      <c r="S47" s="2">
        <v>45.013900800000002</v>
      </c>
      <c r="T47" s="2">
        <v>-93.4524002</v>
      </c>
      <c r="U47" s="1"/>
      <c r="V47" s="1"/>
      <c r="W47" s="1"/>
      <c r="X47" s="1" t="s">
        <v>116</v>
      </c>
      <c r="Y47" s="1" t="s">
        <v>345</v>
      </c>
      <c r="Z47" s="1" t="s">
        <v>346</v>
      </c>
      <c r="AA47" s="1"/>
      <c r="AB47" s="1" t="s">
        <v>347</v>
      </c>
      <c r="AC47" s="2" t="s">
        <v>51</v>
      </c>
      <c r="AD47" s="2">
        <f t="shared" si="0"/>
        <v>2018</v>
      </c>
    </row>
    <row r="48" spans="1:30" hidden="1">
      <c r="A48" s="1" t="s">
        <v>333</v>
      </c>
      <c r="B48" s="3">
        <v>43193</v>
      </c>
      <c r="C48" s="1" t="s">
        <v>348</v>
      </c>
      <c r="D48" s="1" t="s">
        <v>65</v>
      </c>
      <c r="E48" s="1" t="s">
        <v>66</v>
      </c>
      <c r="F48" s="1" t="s">
        <v>34</v>
      </c>
      <c r="G48" s="2" t="s">
        <v>349</v>
      </c>
      <c r="H48" s="1" t="s">
        <v>350</v>
      </c>
      <c r="I48" s="6"/>
      <c r="J48" s="4"/>
      <c r="L48" s="4"/>
      <c r="M48" s="1"/>
      <c r="N48" s="1" t="s">
        <v>253</v>
      </c>
      <c r="O48" s="1" t="s">
        <v>351</v>
      </c>
      <c r="Q48" s="1" t="s">
        <v>352</v>
      </c>
      <c r="R48" s="2">
        <v>55413</v>
      </c>
      <c r="S48" s="44">
        <v>44.999775999999997</v>
      </c>
      <c r="T48" s="45">
        <v>-93.224134000000006</v>
      </c>
      <c r="U48" s="1"/>
      <c r="V48" s="1"/>
      <c r="W48" s="1"/>
      <c r="X48" s="1"/>
      <c r="Y48" s="1" t="s">
        <v>353</v>
      </c>
      <c r="Z48" s="1" t="s">
        <v>96</v>
      </c>
      <c r="AA48" s="1" t="s">
        <v>34</v>
      </c>
      <c r="AB48" s="1"/>
      <c r="AC48" s="2" t="s">
        <v>51</v>
      </c>
      <c r="AD48" s="2">
        <f t="shared" si="0"/>
        <v>2018</v>
      </c>
    </row>
    <row r="49" spans="1:30" hidden="1">
      <c r="A49" s="1" t="s">
        <v>333</v>
      </c>
      <c r="B49" s="3">
        <v>43194</v>
      </c>
      <c r="C49" s="1" t="s">
        <v>354</v>
      </c>
      <c r="D49" s="1" t="s">
        <v>165</v>
      </c>
      <c r="E49" s="1" t="s">
        <v>66</v>
      </c>
      <c r="F49" s="1" t="s">
        <v>34</v>
      </c>
      <c r="G49" s="2" t="s">
        <v>355</v>
      </c>
      <c r="H49" s="1" t="s">
        <v>48</v>
      </c>
      <c r="I49" s="6">
        <v>10582000</v>
      </c>
      <c r="J49" s="4">
        <v>85</v>
      </c>
      <c r="L49" s="4">
        <v>288000</v>
      </c>
      <c r="M49" s="1" t="s">
        <v>356</v>
      </c>
      <c r="N49" s="1" t="s">
        <v>48</v>
      </c>
      <c r="O49" s="1" t="s">
        <v>357</v>
      </c>
      <c r="Q49" s="1" t="s">
        <v>358</v>
      </c>
      <c r="R49" s="2">
        <v>55369</v>
      </c>
      <c r="S49" s="44">
        <v>45.094577999999998</v>
      </c>
      <c r="T49" s="45">
        <v>-93.441816000000003</v>
      </c>
      <c r="U49" s="1" t="s">
        <v>60</v>
      </c>
      <c r="V49" s="1"/>
      <c r="W49" s="1"/>
      <c r="X49" s="1"/>
      <c r="Y49" s="1"/>
      <c r="Z49" s="1"/>
      <c r="AA49" s="1"/>
      <c r="AB49" s="1"/>
      <c r="AC49" s="2" t="s">
        <v>51</v>
      </c>
      <c r="AD49" s="2">
        <f t="shared" si="0"/>
        <v>2018</v>
      </c>
    </row>
    <row r="50" spans="1:30" hidden="1">
      <c r="A50" s="1" t="s">
        <v>333</v>
      </c>
      <c r="B50" s="3">
        <v>43195</v>
      </c>
      <c r="C50" s="1" t="s">
        <v>359</v>
      </c>
      <c r="D50" s="1" t="s">
        <v>65</v>
      </c>
      <c r="E50" s="1" t="s">
        <v>66</v>
      </c>
      <c r="F50" s="1" t="s">
        <v>34</v>
      </c>
      <c r="G50" s="2" t="s">
        <v>360</v>
      </c>
      <c r="H50" s="1" t="s">
        <v>68</v>
      </c>
      <c r="I50" s="6"/>
      <c r="J50" s="4">
        <v>15</v>
      </c>
      <c r="L50" s="4"/>
      <c r="M50" s="1" t="s">
        <v>103</v>
      </c>
      <c r="N50" s="1" t="s">
        <v>86</v>
      </c>
      <c r="O50" s="1" t="s">
        <v>361</v>
      </c>
      <c r="Q50" s="1" t="s">
        <v>362</v>
      </c>
      <c r="R50" s="2">
        <v>55415</v>
      </c>
      <c r="S50" s="44">
        <v>44.976801999999999</v>
      </c>
      <c r="T50" s="45">
        <v>-93.264778000000007</v>
      </c>
      <c r="U50" s="1"/>
      <c r="V50" s="1"/>
      <c r="W50" s="1"/>
      <c r="X50" s="1"/>
      <c r="Y50" s="1"/>
      <c r="Z50" s="1"/>
      <c r="AA50" s="1"/>
      <c r="AB50" s="1"/>
      <c r="AC50" s="2" t="s">
        <v>51</v>
      </c>
      <c r="AD50" s="2">
        <f t="shared" si="0"/>
        <v>2018</v>
      </c>
    </row>
    <row r="51" spans="1:30" hidden="1">
      <c r="A51" s="1" t="s">
        <v>333</v>
      </c>
      <c r="B51" s="3">
        <v>43196</v>
      </c>
      <c r="C51" s="1" t="s">
        <v>363</v>
      </c>
      <c r="D51" s="1" t="s">
        <v>340</v>
      </c>
      <c r="E51" s="1" t="s">
        <v>66</v>
      </c>
      <c r="F51" s="1" t="s">
        <v>34</v>
      </c>
      <c r="G51" s="2" t="s">
        <v>364</v>
      </c>
      <c r="H51" s="1" t="s">
        <v>68</v>
      </c>
      <c r="I51" s="6"/>
      <c r="J51" s="4">
        <v>40</v>
      </c>
      <c r="L51" s="4"/>
      <c r="M51" s="1" t="s">
        <v>167</v>
      </c>
      <c r="N51" s="1" t="s">
        <v>48</v>
      </c>
      <c r="O51" s="1" t="s">
        <v>365</v>
      </c>
      <c r="Q51" s="1" t="s">
        <v>366</v>
      </c>
      <c r="R51" s="2">
        <v>55446</v>
      </c>
      <c r="S51" s="44">
        <v>45.043554</v>
      </c>
      <c r="T51" s="45">
        <v>-93.457618999999994</v>
      </c>
      <c r="U51" s="1"/>
      <c r="V51" s="1"/>
      <c r="W51" s="1"/>
      <c r="X51" s="1" t="s">
        <v>116</v>
      </c>
      <c r="Y51" s="1" t="s">
        <v>367</v>
      </c>
      <c r="Z51" s="1" t="s">
        <v>368</v>
      </c>
      <c r="AA51" s="1" t="s">
        <v>369</v>
      </c>
      <c r="AB51" s="1" t="s">
        <v>370</v>
      </c>
      <c r="AC51" s="2" t="s">
        <v>51</v>
      </c>
      <c r="AD51" s="2">
        <f t="shared" si="0"/>
        <v>2018</v>
      </c>
    </row>
    <row r="52" spans="1:30" hidden="1">
      <c r="A52" s="42" t="s">
        <v>333</v>
      </c>
      <c r="B52" s="148">
        <v>43199</v>
      </c>
      <c r="C52" s="145" t="s">
        <v>371</v>
      </c>
      <c r="D52" s="145" t="s">
        <v>372</v>
      </c>
      <c r="E52" s="2" t="s">
        <v>373</v>
      </c>
      <c r="F52" s="1" t="s">
        <v>34</v>
      </c>
      <c r="G52" s="46" t="s">
        <v>374</v>
      </c>
      <c r="H52" s="2" t="s">
        <v>131</v>
      </c>
      <c r="I52" s="11">
        <v>10000000</v>
      </c>
      <c r="J52" s="5">
        <v>6</v>
      </c>
      <c r="L52" s="5">
        <v>88000</v>
      </c>
      <c r="M52" s="2" t="s">
        <v>188</v>
      </c>
      <c r="N52" s="2" t="s">
        <v>48</v>
      </c>
      <c r="O52" s="7" t="s">
        <v>375</v>
      </c>
      <c r="P52" s="2" t="s">
        <v>376</v>
      </c>
      <c r="Q52" s="149" t="s">
        <v>377</v>
      </c>
      <c r="R52" s="2">
        <v>56001</v>
      </c>
      <c r="S52" s="2">
        <v>44.178111000000001</v>
      </c>
      <c r="T52" s="2">
        <v>-93.937267000000006</v>
      </c>
      <c r="U52" s="2" t="s">
        <v>378</v>
      </c>
      <c r="V52" s="150" t="s">
        <v>379</v>
      </c>
      <c r="W52" s="5">
        <v>559000</v>
      </c>
      <c r="AC52" s="2" t="s">
        <v>120</v>
      </c>
      <c r="AD52" s="2">
        <f t="shared" si="0"/>
        <v>2018</v>
      </c>
    </row>
    <row r="53" spans="1:30" hidden="1">
      <c r="A53" s="1" t="s">
        <v>333</v>
      </c>
      <c r="B53" s="3">
        <v>43199</v>
      </c>
      <c r="C53" s="1" t="s">
        <v>380</v>
      </c>
      <c r="D53" s="1" t="s">
        <v>381</v>
      </c>
      <c r="E53" s="1" t="s">
        <v>382</v>
      </c>
      <c r="F53" s="1" t="s">
        <v>34</v>
      </c>
      <c r="G53" s="2" t="s">
        <v>383</v>
      </c>
      <c r="H53" s="1" t="s">
        <v>46</v>
      </c>
      <c r="I53" s="6">
        <v>370116</v>
      </c>
      <c r="J53" s="4">
        <v>34</v>
      </c>
      <c r="L53" s="4"/>
      <c r="M53" s="1"/>
      <c r="N53" s="1" t="s">
        <v>384</v>
      </c>
      <c r="O53" s="1" t="s">
        <v>385</v>
      </c>
      <c r="Q53" s="1" t="s">
        <v>386</v>
      </c>
      <c r="R53" s="2">
        <v>56007</v>
      </c>
      <c r="S53" s="44">
        <v>43.649163999999999</v>
      </c>
      <c r="T53" s="45">
        <v>-93.368564000000006</v>
      </c>
      <c r="U53" s="1" t="s">
        <v>60</v>
      </c>
      <c r="V53" s="1"/>
      <c r="W53" s="1"/>
      <c r="X53" s="1"/>
      <c r="Y53" s="1"/>
      <c r="Z53" s="1"/>
      <c r="AA53" s="1"/>
      <c r="AB53" s="1"/>
      <c r="AC53" s="2" t="s">
        <v>120</v>
      </c>
      <c r="AD53" s="2">
        <f t="shared" si="0"/>
        <v>2018</v>
      </c>
    </row>
    <row r="54" spans="1:30" hidden="1">
      <c r="A54" s="1" t="s">
        <v>333</v>
      </c>
      <c r="B54" s="3">
        <v>43201</v>
      </c>
      <c r="C54" s="1" t="s">
        <v>387</v>
      </c>
      <c r="D54" s="1" t="s">
        <v>65</v>
      </c>
      <c r="E54" s="1" t="s">
        <v>66</v>
      </c>
      <c r="F54" s="1" t="s">
        <v>34</v>
      </c>
      <c r="G54" s="2" t="s">
        <v>388</v>
      </c>
      <c r="H54" s="1" t="s">
        <v>389</v>
      </c>
      <c r="I54" s="6"/>
      <c r="J54" s="4">
        <v>11</v>
      </c>
      <c r="L54" s="4">
        <v>4000</v>
      </c>
      <c r="M54" s="1" t="s">
        <v>390</v>
      </c>
      <c r="N54" s="1" t="s">
        <v>86</v>
      </c>
      <c r="O54" s="1" t="s">
        <v>391</v>
      </c>
      <c r="Q54" s="1" t="s">
        <v>392</v>
      </c>
      <c r="R54" s="2">
        <v>55401</v>
      </c>
      <c r="S54" s="44">
        <v>44.981085</v>
      </c>
      <c r="T54" s="45">
        <v>-93.265673000000007</v>
      </c>
      <c r="U54" s="1"/>
      <c r="V54" s="1"/>
      <c r="W54" s="1"/>
      <c r="X54" s="1"/>
      <c r="Y54" s="1"/>
      <c r="Z54" s="1"/>
      <c r="AA54" s="1"/>
      <c r="AB54" s="1"/>
      <c r="AC54" s="2" t="s">
        <v>51</v>
      </c>
      <c r="AD54" s="2">
        <f t="shared" si="0"/>
        <v>2018</v>
      </c>
    </row>
    <row r="55" spans="1:30" hidden="1">
      <c r="A55" s="1" t="s">
        <v>333</v>
      </c>
      <c r="B55" s="3">
        <v>43201</v>
      </c>
      <c r="C55" s="1" t="s">
        <v>393</v>
      </c>
      <c r="D55" s="1" t="s">
        <v>394</v>
      </c>
      <c r="E55" s="1" t="s">
        <v>395</v>
      </c>
      <c r="F55" s="1" t="s">
        <v>34</v>
      </c>
      <c r="G55" s="2" t="s">
        <v>396</v>
      </c>
      <c r="H55" s="1" t="s">
        <v>48</v>
      </c>
      <c r="I55" s="6">
        <v>20000000</v>
      </c>
      <c r="J55" s="4">
        <v>12</v>
      </c>
      <c r="L55" s="4"/>
      <c r="M55" s="1" t="s">
        <v>47</v>
      </c>
      <c r="N55" s="1" t="s">
        <v>48</v>
      </c>
      <c r="O55" s="1" t="s">
        <v>397</v>
      </c>
      <c r="Q55" s="1" t="s">
        <v>398</v>
      </c>
      <c r="R55" s="2">
        <v>55309</v>
      </c>
      <c r="S55" s="44">
        <v>45.333427</v>
      </c>
      <c r="T55" s="45">
        <v>-93.715720000000005</v>
      </c>
      <c r="U55" s="1"/>
      <c r="V55" s="1"/>
      <c r="W55" s="1"/>
      <c r="X55" s="1"/>
      <c r="Y55" s="1" t="s">
        <v>399</v>
      </c>
      <c r="Z55" s="1" t="s">
        <v>400</v>
      </c>
      <c r="AA55" s="1" t="s">
        <v>34</v>
      </c>
      <c r="AB55" s="1"/>
      <c r="AC55" s="2" t="s">
        <v>41</v>
      </c>
      <c r="AD55" s="2">
        <f t="shared" si="0"/>
        <v>2018</v>
      </c>
    </row>
    <row r="56" spans="1:30" hidden="1">
      <c r="A56" s="1" t="s">
        <v>333</v>
      </c>
      <c r="B56" s="3">
        <v>43201</v>
      </c>
      <c r="C56" s="1" t="s">
        <v>401</v>
      </c>
      <c r="D56" s="1" t="s">
        <v>402</v>
      </c>
      <c r="E56" s="1" t="s">
        <v>54</v>
      </c>
      <c r="F56" s="1" t="s">
        <v>34</v>
      </c>
      <c r="G56" s="2" t="s">
        <v>403</v>
      </c>
      <c r="H56" s="1" t="s">
        <v>404</v>
      </c>
      <c r="I56" s="6">
        <v>6900000</v>
      </c>
      <c r="J56" s="4">
        <v>11</v>
      </c>
      <c r="L56" s="4">
        <v>122000</v>
      </c>
      <c r="M56" s="1"/>
      <c r="N56" s="1" t="s">
        <v>313</v>
      </c>
      <c r="O56" s="1" t="s">
        <v>405</v>
      </c>
      <c r="Q56" s="1" t="s">
        <v>406</v>
      </c>
      <c r="R56" s="2">
        <v>55368</v>
      </c>
      <c r="S56" s="44">
        <v>44.765042000000001</v>
      </c>
      <c r="T56" s="45">
        <v>-93.914631</v>
      </c>
      <c r="U56" s="1" t="s">
        <v>60</v>
      </c>
      <c r="V56" s="1"/>
      <c r="W56" s="1"/>
      <c r="X56" s="1"/>
      <c r="Y56" s="1"/>
      <c r="Z56" s="1"/>
      <c r="AA56" s="1"/>
      <c r="AB56" s="1"/>
      <c r="AC56" s="2" t="s">
        <v>51</v>
      </c>
      <c r="AD56" s="2">
        <f t="shared" si="0"/>
        <v>2018</v>
      </c>
    </row>
    <row r="57" spans="1:30" hidden="1">
      <c r="A57" s="1" t="s">
        <v>333</v>
      </c>
      <c r="B57" s="3">
        <v>43201</v>
      </c>
      <c r="C57" s="1" t="s">
        <v>407</v>
      </c>
      <c r="D57" s="1" t="s">
        <v>408</v>
      </c>
      <c r="E57" s="1" t="s">
        <v>99</v>
      </c>
      <c r="F57" s="1" t="s">
        <v>34</v>
      </c>
      <c r="G57" s="2" t="s">
        <v>409</v>
      </c>
      <c r="H57" s="1" t="s">
        <v>410</v>
      </c>
      <c r="I57" s="6"/>
      <c r="J57" s="4">
        <v>80</v>
      </c>
      <c r="L57" s="4">
        <v>55000</v>
      </c>
      <c r="M57" s="1"/>
      <c r="N57" s="1" t="s">
        <v>384</v>
      </c>
      <c r="O57" s="1" t="s">
        <v>411</v>
      </c>
      <c r="Q57" s="1" t="s">
        <v>412</v>
      </c>
      <c r="R57" s="2">
        <v>55109</v>
      </c>
      <c r="S57" s="44">
        <v>45.016440000000003</v>
      </c>
      <c r="T57" s="45">
        <v>-93.053325999999998</v>
      </c>
      <c r="U57" s="1"/>
      <c r="V57" s="1"/>
      <c r="W57" s="1"/>
      <c r="X57" s="1"/>
      <c r="Y57" s="1"/>
      <c r="Z57" s="1"/>
      <c r="AA57" s="1"/>
      <c r="AB57" s="1"/>
      <c r="AC57" s="2" t="s">
        <v>51</v>
      </c>
      <c r="AD57" s="2">
        <f t="shared" si="0"/>
        <v>2018</v>
      </c>
    </row>
    <row r="58" spans="1:30" hidden="1">
      <c r="A58" s="1" t="s">
        <v>413</v>
      </c>
      <c r="B58" s="3">
        <v>43201</v>
      </c>
      <c r="C58" s="1" t="s">
        <v>414</v>
      </c>
      <c r="D58" s="1" t="s">
        <v>415</v>
      </c>
      <c r="E58" s="1" t="s">
        <v>395</v>
      </c>
      <c r="F58" s="1" t="s">
        <v>34</v>
      </c>
      <c r="G58" s="2" t="s">
        <v>416</v>
      </c>
      <c r="H58" s="1" t="s">
        <v>48</v>
      </c>
      <c r="I58" s="6"/>
      <c r="J58" s="4">
        <v>340</v>
      </c>
      <c r="L58" s="4"/>
      <c r="M58" s="1" t="s">
        <v>417</v>
      </c>
      <c r="N58" s="1" t="s">
        <v>48</v>
      </c>
      <c r="O58" s="1" t="s">
        <v>418</v>
      </c>
      <c r="Q58" s="1" t="s">
        <v>419</v>
      </c>
      <c r="R58" s="2">
        <v>56301</v>
      </c>
      <c r="S58" s="2">
        <v>45.466098799999997</v>
      </c>
      <c r="T58" s="2">
        <v>-94.122596700000003</v>
      </c>
      <c r="U58" s="1" t="s">
        <v>60</v>
      </c>
      <c r="V58" s="1"/>
      <c r="W58" s="1"/>
      <c r="X58" s="1" t="s">
        <v>116</v>
      </c>
      <c r="Y58" s="1" t="s">
        <v>420</v>
      </c>
      <c r="Z58" s="1" t="s">
        <v>421</v>
      </c>
      <c r="AA58" s="1" t="s">
        <v>422</v>
      </c>
      <c r="AB58" s="1" t="s">
        <v>423</v>
      </c>
      <c r="AC58" s="2" t="s">
        <v>51</v>
      </c>
      <c r="AD58" s="2">
        <f t="shared" si="0"/>
        <v>2018</v>
      </c>
    </row>
    <row r="59" spans="1:30" hidden="1">
      <c r="A59" s="1" t="s">
        <v>333</v>
      </c>
      <c r="B59" s="3">
        <v>43203</v>
      </c>
      <c r="C59" s="1" t="s">
        <v>424</v>
      </c>
      <c r="D59" s="1" t="s">
        <v>425</v>
      </c>
      <c r="E59" s="1" t="s">
        <v>426</v>
      </c>
      <c r="F59" s="1" t="s">
        <v>34</v>
      </c>
      <c r="G59" s="2" t="s">
        <v>427</v>
      </c>
      <c r="H59" s="1" t="s">
        <v>342</v>
      </c>
      <c r="I59" s="6">
        <v>900000</v>
      </c>
      <c r="J59" s="4">
        <v>40</v>
      </c>
      <c r="L59" s="4">
        <v>20000</v>
      </c>
      <c r="M59" s="1" t="s">
        <v>47</v>
      </c>
      <c r="N59" s="1" t="s">
        <v>48</v>
      </c>
      <c r="O59" s="1" t="s">
        <v>428</v>
      </c>
      <c r="Q59" s="1" t="s">
        <v>429</v>
      </c>
      <c r="R59" s="2">
        <v>55983</v>
      </c>
      <c r="S59" s="44">
        <v>44.308435000000003</v>
      </c>
      <c r="T59" s="45">
        <v>-92.790807999999998</v>
      </c>
      <c r="U59" s="1"/>
      <c r="V59" s="1"/>
      <c r="W59" s="1"/>
      <c r="X59" s="1"/>
      <c r="Y59" s="1" t="s">
        <v>424</v>
      </c>
      <c r="Z59" s="1" t="s">
        <v>430</v>
      </c>
      <c r="AA59" s="1" t="s">
        <v>34</v>
      </c>
      <c r="AB59" s="1"/>
      <c r="AC59" s="2" t="s">
        <v>120</v>
      </c>
      <c r="AD59" s="2">
        <f t="shared" si="0"/>
        <v>2018</v>
      </c>
    </row>
    <row r="60" spans="1:30" hidden="1">
      <c r="A60" s="1" t="s">
        <v>333</v>
      </c>
      <c r="B60" s="3">
        <v>43203</v>
      </c>
      <c r="C60" s="1" t="s">
        <v>431</v>
      </c>
      <c r="D60" s="1" t="s">
        <v>65</v>
      </c>
      <c r="E60" s="1" t="s">
        <v>66</v>
      </c>
      <c r="F60" s="1" t="s">
        <v>34</v>
      </c>
      <c r="G60" s="2" t="s">
        <v>432</v>
      </c>
      <c r="H60" s="1" t="s">
        <v>68</v>
      </c>
      <c r="I60" s="6"/>
      <c r="J60" s="4">
        <v>8</v>
      </c>
      <c r="L60" s="4"/>
      <c r="M60" s="1" t="s">
        <v>390</v>
      </c>
      <c r="N60" s="1" t="s">
        <v>86</v>
      </c>
      <c r="O60" s="1" t="s">
        <v>433</v>
      </c>
      <c r="Q60" s="1" t="s">
        <v>434</v>
      </c>
      <c r="R60" s="2">
        <v>55413</v>
      </c>
      <c r="S60" s="44">
        <v>44.988520000000001</v>
      </c>
      <c r="T60" s="45">
        <v>-93.258133000000001</v>
      </c>
      <c r="U60" s="1"/>
      <c r="V60" s="1"/>
      <c r="W60" s="1"/>
      <c r="X60" s="1"/>
      <c r="Y60" s="1"/>
      <c r="Z60" s="1"/>
      <c r="AA60" s="1"/>
      <c r="AB60" s="1"/>
      <c r="AC60" s="2" t="s">
        <v>51</v>
      </c>
      <c r="AD60" s="2">
        <f t="shared" si="0"/>
        <v>2018</v>
      </c>
    </row>
    <row r="61" spans="1:30" hidden="1">
      <c r="A61" s="1" t="s">
        <v>333</v>
      </c>
      <c r="B61" s="3">
        <v>43214</v>
      </c>
      <c r="C61" s="1" t="s">
        <v>435</v>
      </c>
      <c r="D61" s="1" t="s">
        <v>65</v>
      </c>
      <c r="E61" s="1" t="s">
        <v>66</v>
      </c>
      <c r="F61" s="1" t="s">
        <v>34</v>
      </c>
      <c r="G61" s="2" t="s">
        <v>436</v>
      </c>
      <c r="H61" s="1" t="s">
        <v>68</v>
      </c>
      <c r="I61" s="6"/>
      <c r="J61" s="4"/>
      <c r="L61" s="4"/>
      <c r="M61" s="1" t="s">
        <v>47</v>
      </c>
      <c r="N61" s="1" t="s">
        <v>48</v>
      </c>
      <c r="O61" s="1" t="s">
        <v>437</v>
      </c>
      <c r="Q61" s="1" t="s">
        <v>438</v>
      </c>
      <c r="R61" s="2">
        <v>55403</v>
      </c>
      <c r="S61" s="44">
        <v>44.973196999999999</v>
      </c>
      <c r="T61" s="45">
        <v>-93.279573999999997</v>
      </c>
      <c r="U61" s="1"/>
      <c r="V61" s="1"/>
      <c r="W61" s="1"/>
      <c r="X61" s="1" t="s">
        <v>116</v>
      </c>
      <c r="Y61" s="1" t="s">
        <v>439</v>
      </c>
      <c r="Z61" s="1" t="s">
        <v>440</v>
      </c>
      <c r="AA61" s="1"/>
      <c r="AB61" s="1" t="s">
        <v>441</v>
      </c>
      <c r="AC61" s="2" t="s">
        <v>51</v>
      </c>
      <c r="AD61" s="2">
        <f t="shared" si="0"/>
        <v>2018</v>
      </c>
    </row>
    <row r="62" spans="1:30" hidden="1">
      <c r="A62" s="1" t="s">
        <v>333</v>
      </c>
      <c r="B62" s="3">
        <v>43220</v>
      </c>
      <c r="C62" s="1" t="s">
        <v>442</v>
      </c>
      <c r="D62" s="1" t="s">
        <v>65</v>
      </c>
      <c r="E62" s="1" t="s">
        <v>66</v>
      </c>
      <c r="F62" s="1" t="s">
        <v>34</v>
      </c>
      <c r="G62" s="2" t="s">
        <v>443</v>
      </c>
      <c r="H62" s="1" t="s">
        <v>101</v>
      </c>
      <c r="I62" s="6"/>
      <c r="J62" s="4">
        <v>200</v>
      </c>
      <c r="L62" s="4"/>
      <c r="M62" s="1"/>
      <c r="N62" s="1" t="s">
        <v>253</v>
      </c>
      <c r="O62" s="1" t="s">
        <v>444</v>
      </c>
      <c r="Q62" s="1" t="s">
        <v>445</v>
      </c>
      <c r="R62" s="2">
        <v>55402</v>
      </c>
      <c r="S62" s="44">
        <v>44.978382000000003</v>
      </c>
      <c r="T62" s="45">
        <v>-93.269256999999996</v>
      </c>
      <c r="U62" s="1"/>
      <c r="V62" s="1"/>
      <c r="W62" s="1"/>
      <c r="X62" s="1"/>
      <c r="Y62" s="1" t="s">
        <v>442</v>
      </c>
      <c r="Z62" s="1" t="s">
        <v>446</v>
      </c>
      <c r="AA62" s="1" t="s">
        <v>328</v>
      </c>
      <c r="AB62" s="1"/>
      <c r="AC62" s="2" t="s">
        <v>51</v>
      </c>
      <c r="AD62" s="2">
        <f t="shared" si="0"/>
        <v>2018</v>
      </c>
    </row>
    <row r="63" spans="1:30" hidden="1">
      <c r="A63" s="1" t="s">
        <v>333</v>
      </c>
      <c r="B63" s="3">
        <v>43221</v>
      </c>
      <c r="C63" s="1" t="s">
        <v>447</v>
      </c>
      <c r="D63" s="1" t="s">
        <v>448</v>
      </c>
      <c r="E63" s="1" t="s">
        <v>66</v>
      </c>
      <c r="F63" s="1" t="s">
        <v>34</v>
      </c>
      <c r="G63" s="2" t="s">
        <v>449</v>
      </c>
      <c r="H63" s="1" t="s">
        <v>46</v>
      </c>
      <c r="I63" s="6"/>
      <c r="J63" s="4"/>
      <c r="L63" s="4"/>
      <c r="M63" s="1" t="s">
        <v>450</v>
      </c>
      <c r="N63" s="1" t="s">
        <v>48</v>
      </c>
      <c r="O63" s="1" t="s">
        <v>451</v>
      </c>
      <c r="Q63" s="1" t="s">
        <v>452</v>
      </c>
      <c r="R63" s="2">
        <v>55346</v>
      </c>
      <c r="S63" s="44">
        <v>44.891139000000003</v>
      </c>
      <c r="T63" s="45">
        <v>-93.451031999999998</v>
      </c>
      <c r="U63" s="1"/>
      <c r="V63" s="1"/>
      <c r="W63" s="1"/>
      <c r="X63" s="1"/>
      <c r="Y63" s="1"/>
      <c r="Z63" s="1"/>
      <c r="AA63" s="1"/>
      <c r="AB63" s="1"/>
      <c r="AC63" s="2" t="s">
        <v>51</v>
      </c>
      <c r="AD63" s="2">
        <f t="shared" si="0"/>
        <v>2018</v>
      </c>
    </row>
    <row r="64" spans="1:30" hidden="1">
      <c r="A64" s="1" t="s">
        <v>333</v>
      </c>
      <c r="B64" s="3">
        <v>43223</v>
      </c>
      <c r="C64" s="1" t="s">
        <v>453</v>
      </c>
      <c r="D64" s="1" t="s">
        <v>96</v>
      </c>
      <c r="E64" s="1" t="s">
        <v>99</v>
      </c>
      <c r="F64" s="1" t="s">
        <v>34</v>
      </c>
      <c r="G64" s="2" t="s">
        <v>454</v>
      </c>
      <c r="H64" s="1" t="s">
        <v>188</v>
      </c>
      <c r="I64" s="6">
        <v>9000000</v>
      </c>
      <c r="J64" s="4"/>
      <c r="L64" s="4"/>
      <c r="M64" s="1"/>
      <c r="N64" s="1" t="s">
        <v>37</v>
      </c>
      <c r="O64" s="1" t="s">
        <v>455</v>
      </c>
      <c r="Q64" s="1" t="s">
        <v>456</v>
      </c>
      <c r="R64" s="2">
        <v>55108</v>
      </c>
      <c r="S64" s="44">
        <v>44.979356000000003</v>
      </c>
      <c r="T64" s="45">
        <v>-93.160229000000001</v>
      </c>
      <c r="U64" s="1"/>
      <c r="V64" s="1"/>
      <c r="W64" s="1"/>
      <c r="X64" s="1"/>
      <c r="Y64" s="1"/>
      <c r="Z64" s="1"/>
      <c r="AA64" s="1"/>
      <c r="AB64" s="1"/>
      <c r="AC64" s="2" t="s">
        <v>51</v>
      </c>
      <c r="AD64" s="2">
        <f t="shared" si="0"/>
        <v>2018</v>
      </c>
    </row>
    <row r="65" spans="1:30" hidden="1">
      <c r="A65" s="1" t="s">
        <v>333</v>
      </c>
      <c r="B65" s="3">
        <v>43228</v>
      </c>
      <c r="C65" s="1" t="s">
        <v>457</v>
      </c>
      <c r="D65" s="1" t="s">
        <v>65</v>
      </c>
      <c r="E65" s="1" t="s">
        <v>66</v>
      </c>
      <c r="F65" s="1" t="s">
        <v>34</v>
      </c>
      <c r="G65" s="2" t="s">
        <v>458</v>
      </c>
      <c r="H65" s="1" t="s">
        <v>46</v>
      </c>
      <c r="I65" s="6"/>
      <c r="J65" s="4"/>
      <c r="L65" s="4">
        <v>10000</v>
      </c>
      <c r="M65" s="1" t="s">
        <v>47</v>
      </c>
      <c r="N65" s="1" t="s">
        <v>48</v>
      </c>
      <c r="O65" s="1" t="s">
        <v>459</v>
      </c>
      <c r="Q65" s="1" t="s">
        <v>460</v>
      </c>
      <c r="R65" s="2">
        <v>55405</v>
      </c>
      <c r="S65" s="44">
        <v>44.979584000000003</v>
      </c>
      <c r="T65" s="45">
        <v>-93.296115</v>
      </c>
      <c r="U65" s="1"/>
      <c r="V65" s="1"/>
      <c r="W65" s="1"/>
      <c r="X65" s="1"/>
      <c r="Y65" s="1"/>
      <c r="Z65" s="1"/>
      <c r="AA65" s="1"/>
      <c r="AB65" s="1"/>
      <c r="AC65" s="2" t="s">
        <v>51</v>
      </c>
      <c r="AD65" s="2">
        <f t="shared" si="0"/>
        <v>2018</v>
      </c>
    </row>
    <row r="66" spans="1:30" hidden="1">
      <c r="A66" s="1" t="s">
        <v>333</v>
      </c>
      <c r="B66" s="3">
        <v>43230</v>
      </c>
      <c r="C66" s="1" t="s">
        <v>461</v>
      </c>
      <c r="D66" s="1" t="s">
        <v>65</v>
      </c>
      <c r="E66" s="1" t="s">
        <v>66</v>
      </c>
      <c r="F66" s="1" t="s">
        <v>34</v>
      </c>
      <c r="G66" s="2" t="s">
        <v>462</v>
      </c>
      <c r="H66" s="1" t="s">
        <v>36</v>
      </c>
      <c r="I66" s="6">
        <v>112000000</v>
      </c>
      <c r="J66" s="4"/>
      <c r="L66" s="4">
        <v>7000</v>
      </c>
      <c r="M66" s="1"/>
      <c r="N66" s="1" t="s">
        <v>37</v>
      </c>
      <c r="O66" s="1" t="s">
        <v>463</v>
      </c>
      <c r="Q66" s="1" t="s">
        <v>464</v>
      </c>
      <c r="R66" s="2">
        <v>55414</v>
      </c>
      <c r="S66" s="44">
        <v>44.970953999999999</v>
      </c>
      <c r="T66" s="45">
        <v>-93.231361000000007</v>
      </c>
      <c r="U66" s="1"/>
      <c r="V66" s="1"/>
      <c r="W66" s="1"/>
      <c r="X66" s="1"/>
      <c r="Y66" s="1" t="s">
        <v>465</v>
      </c>
      <c r="Z66" s="1" t="s">
        <v>65</v>
      </c>
      <c r="AA66" s="1" t="s">
        <v>34</v>
      </c>
      <c r="AB66" s="1"/>
      <c r="AC66" s="2" t="s">
        <v>51</v>
      </c>
      <c r="AD66" s="2">
        <f t="shared" ref="AD66:AD129" si="1">YEAR(B66)</f>
        <v>2018</v>
      </c>
    </row>
    <row r="67" spans="1:30" hidden="1">
      <c r="A67" s="1" t="s">
        <v>333</v>
      </c>
      <c r="B67" s="3">
        <v>43231</v>
      </c>
      <c r="C67" s="1" t="s">
        <v>466</v>
      </c>
      <c r="D67" s="1" t="s">
        <v>467</v>
      </c>
      <c r="E67" s="1" t="s">
        <v>468</v>
      </c>
      <c r="F67" s="1" t="s">
        <v>34</v>
      </c>
      <c r="G67" s="2" t="s">
        <v>469</v>
      </c>
      <c r="H67" s="1" t="s">
        <v>46</v>
      </c>
      <c r="I67" s="6"/>
      <c r="J67" s="4"/>
      <c r="L67" s="4"/>
      <c r="M67" s="1" t="s">
        <v>47</v>
      </c>
      <c r="N67" s="1" t="s">
        <v>48</v>
      </c>
      <c r="O67" s="1" t="s">
        <v>470</v>
      </c>
      <c r="Q67" s="1" t="s">
        <v>471</v>
      </c>
      <c r="R67" s="2">
        <v>55021</v>
      </c>
      <c r="S67" s="44">
        <v>44.294964</v>
      </c>
      <c r="T67" s="45">
        <v>-93.267032999999998</v>
      </c>
      <c r="U67" s="1"/>
      <c r="V67" s="1"/>
      <c r="W67" s="1"/>
      <c r="X67" s="1"/>
      <c r="Y67" s="1"/>
      <c r="Z67" s="1"/>
      <c r="AA67" s="1"/>
      <c r="AB67" s="1"/>
      <c r="AC67" s="2" t="s">
        <v>120</v>
      </c>
      <c r="AD67" s="2">
        <f t="shared" si="1"/>
        <v>2018</v>
      </c>
    </row>
    <row r="68" spans="1:30" hidden="1">
      <c r="A68" s="1" t="s">
        <v>333</v>
      </c>
      <c r="B68" s="3">
        <v>43235</v>
      </c>
      <c r="C68" s="1" t="s">
        <v>472</v>
      </c>
      <c r="D68" s="1" t="s">
        <v>473</v>
      </c>
      <c r="E68" s="1" t="s">
        <v>474</v>
      </c>
      <c r="F68" s="1" t="s">
        <v>34</v>
      </c>
      <c r="G68" s="2" t="s">
        <v>475</v>
      </c>
      <c r="H68" s="1" t="s">
        <v>48</v>
      </c>
      <c r="I68" s="6"/>
      <c r="J68" s="4">
        <v>24</v>
      </c>
      <c r="L68" s="4"/>
      <c r="M68" s="1" t="s">
        <v>125</v>
      </c>
      <c r="N68" s="1" t="s">
        <v>48</v>
      </c>
      <c r="O68" s="1" t="s">
        <v>476</v>
      </c>
      <c r="Q68" s="1" t="s">
        <v>477</v>
      </c>
      <c r="R68" s="2">
        <v>55324</v>
      </c>
      <c r="S68" s="44">
        <v>45.095692</v>
      </c>
      <c r="T68" s="45">
        <v>-94.408210999999994</v>
      </c>
      <c r="U68" s="1"/>
      <c r="V68" s="1"/>
      <c r="W68" s="1"/>
      <c r="X68" s="1"/>
      <c r="Y68" s="1"/>
      <c r="Z68" s="1"/>
      <c r="AA68" s="1"/>
      <c r="AB68" s="1"/>
      <c r="AC68" s="2" t="s">
        <v>41</v>
      </c>
      <c r="AD68" s="2">
        <f t="shared" si="1"/>
        <v>2018</v>
      </c>
    </row>
    <row r="69" spans="1:30" hidden="1">
      <c r="A69" s="1" t="s">
        <v>333</v>
      </c>
      <c r="B69" s="3">
        <v>43236</v>
      </c>
      <c r="C69" s="1" t="s">
        <v>478</v>
      </c>
      <c r="D69" s="1" t="s">
        <v>479</v>
      </c>
      <c r="E69" s="1" t="s">
        <v>468</v>
      </c>
      <c r="F69" s="1" t="s">
        <v>34</v>
      </c>
      <c r="G69" s="2" t="s">
        <v>480</v>
      </c>
      <c r="H69" s="1" t="s">
        <v>46</v>
      </c>
      <c r="I69" s="6">
        <v>300000</v>
      </c>
      <c r="J69" s="4">
        <v>2</v>
      </c>
      <c r="L69" s="4">
        <v>1000</v>
      </c>
      <c r="M69" s="1" t="s">
        <v>47</v>
      </c>
      <c r="N69" s="1" t="s">
        <v>48</v>
      </c>
      <c r="O69" s="1" t="s">
        <v>481</v>
      </c>
      <c r="Q69" s="1" t="s">
        <v>482</v>
      </c>
      <c r="R69" s="2">
        <v>55057</v>
      </c>
      <c r="S69" s="44">
        <v>44.450816000000003</v>
      </c>
      <c r="T69" s="45">
        <v>-93.179896999999997</v>
      </c>
      <c r="U69" s="1"/>
      <c r="V69" s="1"/>
      <c r="W69" s="1"/>
      <c r="X69" s="1"/>
      <c r="Y69" s="1"/>
      <c r="Z69" s="1"/>
      <c r="AA69" s="1"/>
      <c r="AB69" s="1"/>
      <c r="AC69" s="2" t="s">
        <v>120</v>
      </c>
      <c r="AD69" s="2">
        <f t="shared" si="1"/>
        <v>2018</v>
      </c>
    </row>
    <row r="70" spans="1:30" hidden="1">
      <c r="A70" s="1" t="s">
        <v>333</v>
      </c>
      <c r="B70" s="3">
        <v>43237</v>
      </c>
      <c r="C70" s="1" t="s">
        <v>483</v>
      </c>
      <c r="D70" s="1" t="s">
        <v>467</v>
      </c>
      <c r="E70" s="1" t="s">
        <v>468</v>
      </c>
      <c r="F70" s="1" t="s">
        <v>34</v>
      </c>
      <c r="G70" s="2" t="s">
        <v>484</v>
      </c>
      <c r="H70" s="1" t="s">
        <v>48</v>
      </c>
      <c r="I70" s="6">
        <v>40300000</v>
      </c>
      <c r="J70" s="4">
        <v>200</v>
      </c>
      <c r="L70" s="4"/>
      <c r="M70" s="1" t="s">
        <v>93</v>
      </c>
      <c r="N70" s="1" t="s">
        <v>48</v>
      </c>
      <c r="O70" s="1" t="s">
        <v>485</v>
      </c>
      <c r="Q70" s="1" t="s">
        <v>486</v>
      </c>
      <c r="R70" s="2">
        <v>55021</v>
      </c>
      <c r="S70" s="44">
        <v>44.289045000000002</v>
      </c>
      <c r="T70" s="45">
        <v>-93.287548999999999</v>
      </c>
      <c r="U70" s="1"/>
      <c r="V70" s="1"/>
      <c r="W70" s="1"/>
      <c r="X70" s="1" t="s">
        <v>116</v>
      </c>
      <c r="Y70" s="1" t="s">
        <v>487</v>
      </c>
      <c r="Z70" s="1" t="s">
        <v>340</v>
      </c>
      <c r="AA70" s="1" t="s">
        <v>34</v>
      </c>
      <c r="AB70" s="1"/>
      <c r="AC70" s="2" t="s">
        <v>120</v>
      </c>
      <c r="AD70" s="2">
        <f t="shared" si="1"/>
        <v>2018</v>
      </c>
    </row>
    <row r="71" spans="1:30" hidden="1">
      <c r="A71" s="1" t="s">
        <v>333</v>
      </c>
      <c r="B71" s="3">
        <v>43242</v>
      </c>
      <c r="C71" s="1" t="s">
        <v>488</v>
      </c>
      <c r="D71" s="1" t="s">
        <v>467</v>
      </c>
      <c r="E71" s="1" t="s">
        <v>74</v>
      </c>
      <c r="F71" s="1" t="s">
        <v>34</v>
      </c>
      <c r="G71" s="2" t="s">
        <v>489</v>
      </c>
      <c r="H71" s="1" t="s">
        <v>68</v>
      </c>
      <c r="I71" s="6">
        <v>1500000</v>
      </c>
      <c r="J71" s="4">
        <v>8</v>
      </c>
      <c r="L71" s="4">
        <v>18000</v>
      </c>
      <c r="M71" s="1"/>
      <c r="N71" s="1" t="s">
        <v>77</v>
      </c>
      <c r="O71" s="1" t="s">
        <v>490</v>
      </c>
      <c r="Q71" s="1" t="s">
        <v>491</v>
      </c>
      <c r="R71" s="2">
        <v>55024</v>
      </c>
      <c r="S71" s="44">
        <v>44.642856000000002</v>
      </c>
      <c r="T71" s="45">
        <v>-93.167330000000007</v>
      </c>
      <c r="U71" s="1"/>
      <c r="V71" s="1"/>
      <c r="W71" s="1"/>
      <c r="X71" s="1"/>
      <c r="Y71" s="1"/>
      <c r="Z71" s="1"/>
      <c r="AA71" s="1"/>
      <c r="AB71" s="1"/>
      <c r="AC71" s="2" t="s">
        <v>51</v>
      </c>
      <c r="AD71" s="2">
        <f t="shared" si="1"/>
        <v>2018</v>
      </c>
    </row>
    <row r="72" spans="1:30" hidden="1">
      <c r="A72" s="1" t="s">
        <v>333</v>
      </c>
      <c r="B72" s="3">
        <v>43243</v>
      </c>
      <c r="C72" s="1" t="s">
        <v>492</v>
      </c>
      <c r="D72" s="1" t="s">
        <v>493</v>
      </c>
      <c r="E72" s="1" t="s">
        <v>44</v>
      </c>
      <c r="F72" s="1" t="s">
        <v>34</v>
      </c>
      <c r="G72" s="2" t="s">
        <v>494</v>
      </c>
      <c r="H72" s="1" t="s">
        <v>495</v>
      </c>
      <c r="I72" s="6">
        <v>40000000</v>
      </c>
      <c r="J72" s="4">
        <v>40</v>
      </c>
      <c r="L72" s="4">
        <v>60000</v>
      </c>
      <c r="M72" s="1" t="s">
        <v>496</v>
      </c>
      <c r="N72" s="1" t="s">
        <v>48</v>
      </c>
      <c r="O72" s="1" t="s">
        <v>497</v>
      </c>
      <c r="Q72" s="1" t="s">
        <v>498</v>
      </c>
      <c r="R72" s="2">
        <v>55003</v>
      </c>
      <c r="S72" s="44">
        <v>45.021036000000002</v>
      </c>
      <c r="T72" s="45">
        <v>-92.779168999999996</v>
      </c>
      <c r="U72" s="1"/>
      <c r="V72" s="1"/>
      <c r="W72" s="1"/>
      <c r="X72" s="1"/>
      <c r="Y72" s="1"/>
      <c r="Z72" s="1"/>
      <c r="AA72" s="1"/>
      <c r="AB72" s="1"/>
      <c r="AC72" s="2" t="s">
        <v>51</v>
      </c>
      <c r="AD72" s="2">
        <f t="shared" si="1"/>
        <v>2018</v>
      </c>
    </row>
    <row r="73" spans="1:30" hidden="1">
      <c r="A73" s="2" t="s">
        <v>333</v>
      </c>
      <c r="B73" s="3">
        <v>43243</v>
      </c>
      <c r="C73" s="1" t="s">
        <v>499</v>
      </c>
      <c r="D73" s="1" t="s">
        <v>473</v>
      </c>
      <c r="E73" s="1" t="s">
        <v>474</v>
      </c>
      <c r="F73" s="1" t="s">
        <v>34</v>
      </c>
      <c r="G73" s="2" t="s">
        <v>500</v>
      </c>
      <c r="H73" s="1" t="s">
        <v>48</v>
      </c>
      <c r="I73" s="6"/>
      <c r="J73" s="4">
        <v>18</v>
      </c>
      <c r="L73" s="4"/>
      <c r="M73" s="1" t="s">
        <v>93</v>
      </c>
      <c r="N73" s="1" t="s">
        <v>48</v>
      </c>
      <c r="O73" s="1"/>
      <c r="Q73" s="1" t="s">
        <v>501</v>
      </c>
      <c r="R73" s="2">
        <v>55355</v>
      </c>
      <c r="S73" s="2">
        <v>45.120313000000003</v>
      </c>
      <c r="T73" s="2">
        <v>-94.527285599999999</v>
      </c>
      <c r="U73" s="1"/>
      <c r="V73" s="1"/>
      <c r="W73" s="1"/>
      <c r="X73" s="1"/>
      <c r="Y73" s="1" t="s">
        <v>499</v>
      </c>
      <c r="Z73" s="1" t="s">
        <v>502</v>
      </c>
      <c r="AA73" s="1" t="s">
        <v>503</v>
      </c>
      <c r="AB73" s="1"/>
      <c r="AC73" s="2" t="s">
        <v>41</v>
      </c>
      <c r="AD73" s="2">
        <f t="shared" si="1"/>
        <v>2018</v>
      </c>
    </row>
    <row r="74" spans="1:30" hidden="1">
      <c r="A74" s="1" t="s">
        <v>333</v>
      </c>
      <c r="B74" s="3">
        <v>43243</v>
      </c>
      <c r="C74" s="1" t="s">
        <v>504</v>
      </c>
      <c r="D74" s="1" t="s">
        <v>505</v>
      </c>
      <c r="E74" s="1" t="s">
        <v>335</v>
      </c>
      <c r="F74" s="1" t="s">
        <v>34</v>
      </c>
      <c r="G74" s="2" t="s">
        <v>506</v>
      </c>
      <c r="H74" s="1" t="s">
        <v>199</v>
      </c>
      <c r="I74" s="6"/>
      <c r="J74" s="4"/>
      <c r="L74" s="4">
        <v>90000</v>
      </c>
      <c r="M74" s="1"/>
      <c r="N74" s="1" t="s">
        <v>384</v>
      </c>
      <c r="O74" s="1" t="s">
        <v>507</v>
      </c>
      <c r="Q74" s="1" t="s">
        <v>508</v>
      </c>
      <c r="R74" s="2">
        <v>55379</v>
      </c>
      <c r="S74" s="44">
        <v>44.786062999999999</v>
      </c>
      <c r="T74" s="45">
        <v>-93.409726000000006</v>
      </c>
      <c r="U74" s="1"/>
      <c r="V74" s="1"/>
      <c r="W74" s="1"/>
      <c r="X74" s="1"/>
      <c r="Y74" s="1"/>
      <c r="Z74" s="1"/>
      <c r="AA74" s="1"/>
      <c r="AB74" s="1"/>
      <c r="AC74" s="2" t="s">
        <v>51</v>
      </c>
      <c r="AD74" s="2">
        <f t="shared" si="1"/>
        <v>2018</v>
      </c>
    </row>
    <row r="75" spans="1:30" hidden="1">
      <c r="A75" s="1" t="s">
        <v>333</v>
      </c>
      <c r="B75" s="3">
        <v>43244</v>
      </c>
      <c r="C75" s="1" t="s">
        <v>509</v>
      </c>
      <c r="D75" s="1" t="s">
        <v>90</v>
      </c>
      <c r="E75" s="1" t="s">
        <v>91</v>
      </c>
      <c r="F75" s="1" t="s">
        <v>34</v>
      </c>
      <c r="G75" s="2" t="s">
        <v>510</v>
      </c>
      <c r="H75" s="1" t="s">
        <v>36</v>
      </c>
      <c r="I75" s="6">
        <v>675000000</v>
      </c>
      <c r="J75" s="4"/>
      <c r="L75" s="4">
        <v>800000</v>
      </c>
      <c r="M75" s="1"/>
      <c r="N75" s="1" t="s">
        <v>37</v>
      </c>
      <c r="O75" s="1" t="s">
        <v>511</v>
      </c>
      <c r="P75" s="1"/>
      <c r="Q75" s="1" t="s">
        <v>512</v>
      </c>
      <c r="R75" s="2">
        <v>55805</v>
      </c>
      <c r="S75" s="44">
        <v>46.79316</v>
      </c>
      <c r="T75" s="45">
        <v>-92.096483000000006</v>
      </c>
      <c r="U75" s="1"/>
      <c r="V75" s="1"/>
      <c r="W75" s="1"/>
      <c r="X75" s="1"/>
      <c r="Y75" s="1" t="s">
        <v>509</v>
      </c>
      <c r="Z75" s="1" t="s">
        <v>513</v>
      </c>
      <c r="AA75" s="1" t="s">
        <v>34</v>
      </c>
      <c r="AB75" s="1"/>
      <c r="AC75" s="1" t="s">
        <v>97</v>
      </c>
      <c r="AD75" s="2">
        <f t="shared" si="1"/>
        <v>2018</v>
      </c>
    </row>
    <row r="76" spans="1:30" hidden="1">
      <c r="A76" s="1" t="s">
        <v>333</v>
      </c>
      <c r="B76" s="3">
        <v>43245</v>
      </c>
      <c r="C76" s="1" t="s">
        <v>514</v>
      </c>
      <c r="D76" s="1" t="s">
        <v>515</v>
      </c>
      <c r="E76" s="1" t="s">
        <v>515</v>
      </c>
      <c r="F76" s="1" t="s">
        <v>34</v>
      </c>
      <c r="G76" s="2" t="s">
        <v>516</v>
      </c>
      <c r="H76" s="1" t="s">
        <v>68</v>
      </c>
      <c r="I76" s="6">
        <v>10000000</v>
      </c>
      <c r="J76" s="4"/>
      <c r="L76" s="4">
        <v>120000</v>
      </c>
      <c r="M76" s="1"/>
      <c r="N76" s="1" t="s">
        <v>313</v>
      </c>
      <c r="O76" s="1" t="s">
        <v>517</v>
      </c>
      <c r="Q76" s="1" t="s">
        <v>518</v>
      </c>
      <c r="R76" s="2">
        <v>55987</v>
      </c>
      <c r="S76" s="44">
        <v>44.062095999999997</v>
      </c>
      <c r="T76" s="45">
        <v>-91.683554999999998</v>
      </c>
      <c r="U76" s="1" t="s">
        <v>60</v>
      </c>
      <c r="V76" s="1"/>
      <c r="W76" s="1"/>
      <c r="X76" s="1"/>
      <c r="Y76" s="1"/>
      <c r="Z76" s="1"/>
      <c r="AA76" s="1"/>
      <c r="AB76" s="1"/>
      <c r="AC76" s="2" t="s">
        <v>120</v>
      </c>
      <c r="AD76" s="2">
        <f t="shared" si="1"/>
        <v>2018</v>
      </c>
    </row>
    <row r="77" spans="1:30" hidden="1">
      <c r="A77" s="1" t="s">
        <v>333</v>
      </c>
      <c r="B77" s="3">
        <v>43249</v>
      </c>
      <c r="C77" s="1" t="s">
        <v>519</v>
      </c>
      <c r="D77" s="1" t="s">
        <v>90</v>
      </c>
      <c r="E77" s="1" t="s">
        <v>91</v>
      </c>
      <c r="F77" s="1" t="s">
        <v>34</v>
      </c>
      <c r="G77" s="2" t="s">
        <v>520</v>
      </c>
      <c r="H77" s="1" t="s">
        <v>46</v>
      </c>
      <c r="I77" s="6">
        <v>150000</v>
      </c>
      <c r="J77" s="4"/>
      <c r="L77" s="4"/>
      <c r="M77" s="1" t="s">
        <v>47</v>
      </c>
      <c r="N77" s="1" t="s">
        <v>48</v>
      </c>
      <c r="O77" s="1" t="s">
        <v>521</v>
      </c>
      <c r="P77" s="1"/>
      <c r="Q77" s="1" t="s">
        <v>522</v>
      </c>
      <c r="R77" s="2">
        <v>55806</v>
      </c>
      <c r="S77" s="44">
        <v>46.761218999999997</v>
      </c>
      <c r="T77" s="45">
        <v>-92.133179999999996</v>
      </c>
      <c r="U77" s="1"/>
      <c r="V77" s="1"/>
      <c r="W77" s="1"/>
      <c r="X77" s="1"/>
      <c r="Y77" s="1"/>
      <c r="Z77" s="1"/>
      <c r="AA77" s="1"/>
      <c r="AB77" s="1"/>
      <c r="AC77" s="1" t="s">
        <v>97</v>
      </c>
      <c r="AD77" s="2">
        <f t="shared" si="1"/>
        <v>2018</v>
      </c>
    </row>
    <row r="78" spans="1:30" hidden="1">
      <c r="A78" s="1" t="s">
        <v>333</v>
      </c>
      <c r="B78" s="3">
        <v>43250</v>
      </c>
      <c r="C78" s="1" t="s">
        <v>523</v>
      </c>
      <c r="D78" s="1" t="s">
        <v>96</v>
      </c>
      <c r="E78" s="1" t="s">
        <v>99</v>
      </c>
      <c r="F78" s="1" t="s">
        <v>34</v>
      </c>
      <c r="G78" s="2" t="s">
        <v>524</v>
      </c>
      <c r="H78" s="1" t="s">
        <v>36</v>
      </c>
      <c r="I78" s="6"/>
      <c r="J78" s="4"/>
      <c r="L78" s="4"/>
      <c r="M78" s="1"/>
      <c r="N78" s="1" t="s">
        <v>37</v>
      </c>
      <c r="O78" s="1" t="s">
        <v>525</v>
      </c>
      <c r="Q78" s="1" t="s">
        <v>526</v>
      </c>
      <c r="R78" s="2">
        <v>55101</v>
      </c>
      <c r="S78" s="44">
        <v>44.955382999999998</v>
      </c>
      <c r="T78" s="45">
        <v>-93.095797000000005</v>
      </c>
      <c r="U78" s="1"/>
      <c r="V78" s="1"/>
      <c r="W78" s="1"/>
      <c r="X78" s="1"/>
      <c r="Y78" s="1" t="s">
        <v>527</v>
      </c>
      <c r="Z78" s="1" t="s">
        <v>528</v>
      </c>
      <c r="AA78" s="1" t="s">
        <v>34</v>
      </c>
      <c r="AB78" s="1"/>
      <c r="AC78" s="2" t="s">
        <v>51</v>
      </c>
      <c r="AD78" s="2">
        <f t="shared" si="1"/>
        <v>2018</v>
      </c>
    </row>
    <row r="79" spans="1:30" hidden="1">
      <c r="A79" s="1" t="s">
        <v>333</v>
      </c>
      <c r="B79" s="3">
        <v>43256</v>
      </c>
      <c r="C79" s="1" t="s">
        <v>529</v>
      </c>
      <c r="D79" s="1" t="s">
        <v>96</v>
      </c>
      <c r="E79" s="1" t="s">
        <v>99</v>
      </c>
      <c r="F79" s="1" t="s">
        <v>34</v>
      </c>
      <c r="G79" s="2" t="s">
        <v>530</v>
      </c>
      <c r="H79" s="1" t="s">
        <v>68</v>
      </c>
      <c r="I79" s="6"/>
      <c r="J79" s="4">
        <v>5</v>
      </c>
      <c r="L79" s="4"/>
      <c r="M79" s="2" t="s">
        <v>531</v>
      </c>
      <c r="N79" s="1" t="s">
        <v>300</v>
      </c>
      <c r="O79" s="1" t="s">
        <v>532</v>
      </c>
      <c r="Q79" s="1" t="s">
        <v>533</v>
      </c>
      <c r="R79" s="2">
        <v>55102</v>
      </c>
      <c r="S79" s="2">
        <v>44.946398000000002</v>
      </c>
      <c r="T79" s="2">
        <v>-93.093676000000002</v>
      </c>
      <c r="U79" s="1" t="s">
        <v>143</v>
      </c>
      <c r="V79" s="1"/>
      <c r="W79" s="1"/>
      <c r="X79" s="1"/>
      <c r="Y79" s="1"/>
      <c r="Z79" s="1"/>
      <c r="AA79" s="1"/>
      <c r="AB79" s="1"/>
      <c r="AC79" s="2" t="s">
        <v>41</v>
      </c>
      <c r="AD79" s="2">
        <f t="shared" si="1"/>
        <v>2018</v>
      </c>
    </row>
    <row r="80" spans="1:30" hidden="1">
      <c r="A80" s="1" t="s">
        <v>333</v>
      </c>
      <c r="B80" s="3">
        <v>43258</v>
      </c>
      <c r="C80" s="1" t="s">
        <v>534</v>
      </c>
      <c r="D80" s="1" t="s">
        <v>528</v>
      </c>
      <c r="E80" s="1" t="s">
        <v>66</v>
      </c>
      <c r="F80" s="1" t="s">
        <v>34</v>
      </c>
      <c r="G80" s="2" t="s">
        <v>535</v>
      </c>
      <c r="H80" s="1" t="s">
        <v>68</v>
      </c>
      <c r="I80" s="6"/>
      <c r="J80" s="4">
        <v>12</v>
      </c>
      <c r="L80" s="4"/>
      <c r="M80" s="2" t="s">
        <v>531</v>
      </c>
      <c r="N80" s="1" t="s">
        <v>300</v>
      </c>
      <c r="O80" s="1" t="s">
        <v>536</v>
      </c>
      <c r="Q80" s="1" t="s">
        <v>537</v>
      </c>
      <c r="R80" s="2">
        <v>55425</v>
      </c>
      <c r="S80" s="44">
        <v>44.860560999999997</v>
      </c>
      <c r="T80" s="45">
        <v>-93.227895000000004</v>
      </c>
      <c r="U80" s="1"/>
      <c r="V80" s="1"/>
      <c r="W80" s="1"/>
      <c r="X80" s="1"/>
      <c r="Y80" s="1"/>
      <c r="Z80" s="1"/>
      <c r="AA80" s="1"/>
      <c r="AB80" s="1"/>
      <c r="AC80" s="2" t="s">
        <v>51</v>
      </c>
      <c r="AD80" s="2">
        <f t="shared" si="1"/>
        <v>2018</v>
      </c>
    </row>
    <row r="81" spans="1:30" hidden="1">
      <c r="A81" s="1" t="s">
        <v>30</v>
      </c>
      <c r="B81" s="3">
        <v>43262</v>
      </c>
      <c r="C81" s="1" t="s">
        <v>538</v>
      </c>
      <c r="D81" s="1" t="s">
        <v>539</v>
      </c>
      <c r="E81" s="1" t="s">
        <v>74</v>
      </c>
      <c r="F81" s="1" t="s">
        <v>34</v>
      </c>
      <c r="G81" s="2" t="s">
        <v>540</v>
      </c>
      <c r="H81" s="1" t="s">
        <v>36</v>
      </c>
      <c r="I81" s="6"/>
      <c r="J81" s="4"/>
      <c r="L81" s="4">
        <v>169000</v>
      </c>
      <c r="M81" s="1"/>
      <c r="N81" s="1" t="s">
        <v>37</v>
      </c>
      <c r="O81" s="1" t="s">
        <v>541</v>
      </c>
      <c r="Q81" s="1" t="s">
        <v>542</v>
      </c>
      <c r="R81" s="2">
        <v>55337</v>
      </c>
      <c r="S81" s="2">
        <v>44.748600000000003</v>
      </c>
      <c r="T81" s="2">
        <v>-93.2755966</v>
      </c>
      <c r="U81" s="1"/>
      <c r="V81" s="1"/>
      <c r="W81" s="1"/>
      <c r="X81" s="1"/>
      <c r="Y81" s="1" t="s">
        <v>543</v>
      </c>
      <c r="Z81" s="1" t="s">
        <v>544</v>
      </c>
      <c r="AA81" s="1" t="s">
        <v>34</v>
      </c>
      <c r="AB81" s="1"/>
      <c r="AC81" s="2" t="s">
        <v>51</v>
      </c>
      <c r="AD81" s="2">
        <f t="shared" si="1"/>
        <v>2018</v>
      </c>
    </row>
    <row r="82" spans="1:30" hidden="1">
      <c r="A82" s="1" t="s">
        <v>333</v>
      </c>
      <c r="B82" s="3">
        <v>43262</v>
      </c>
      <c r="C82" s="1" t="s">
        <v>545</v>
      </c>
      <c r="D82" s="1" t="s">
        <v>546</v>
      </c>
      <c r="E82" s="1" t="s">
        <v>74</v>
      </c>
      <c r="F82" s="1" t="s">
        <v>34</v>
      </c>
      <c r="G82" s="2" t="s">
        <v>547</v>
      </c>
      <c r="H82" s="1" t="s">
        <v>48</v>
      </c>
      <c r="I82" s="6">
        <v>15000000</v>
      </c>
      <c r="J82" s="4">
        <v>300</v>
      </c>
      <c r="L82" s="4"/>
      <c r="M82" s="1" t="s">
        <v>47</v>
      </c>
      <c r="N82" s="1" t="s">
        <v>48</v>
      </c>
      <c r="O82" s="1" t="s">
        <v>548</v>
      </c>
      <c r="Q82" s="1" t="s">
        <v>549</v>
      </c>
      <c r="R82" s="2">
        <v>55044</v>
      </c>
      <c r="S82" s="44">
        <v>44.642831000000001</v>
      </c>
      <c r="T82" s="45">
        <v>-93.226673000000005</v>
      </c>
      <c r="U82" s="1"/>
      <c r="V82" s="1"/>
      <c r="W82" s="1"/>
      <c r="X82" s="1"/>
      <c r="Y82" s="1" t="s">
        <v>545</v>
      </c>
      <c r="Z82" s="1" t="s">
        <v>539</v>
      </c>
      <c r="AA82" s="1" t="s">
        <v>34</v>
      </c>
      <c r="AB82" s="1"/>
      <c r="AC82" s="2" t="s">
        <v>51</v>
      </c>
      <c r="AD82" s="2">
        <f t="shared" si="1"/>
        <v>2018</v>
      </c>
    </row>
    <row r="83" spans="1:30" hidden="1">
      <c r="A83" s="1" t="s">
        <v>333</v>
      </c>
      <c r="B83" s="3">
        <v>43262</v>
      </c>
      <c r="C83" s="1" t="s">
        <v>538</v>
      </c>
      <c r="D83" s="1" t="s">
        <v>544</v>
      </c>
      <c r="E83" s="1" t="s">
        <v>66</v>
      </c>
      <c r="F83" s="1" t="s">
        <v>34</v>
      </c>
      <c r="G83" s="2" t="s">
        <v>550</v>
      </c>
      <c r="H83" s="1" t="s">
        <v>36</v>
      </c>
      <c r="I83" s="6"/>
      <c r="J83" s="4"/>
      <c r="L83" s="4">
        <v>16000</v>
      </c>
      <c r="M83" s="1"/>
      <c r="N83" s="1" t="s">
        <v>37</v>
      </c>
      <c r="O83" s="1" t="s">
        <v>541</v>
      </c>
      <c r="Q83" s="1" t="s">
        <v>551</v>
      </c>
      <c r="R83" s="2">
        <v>55416</v>
      </c>
      <c r="S83" s="44">
        <v>44.933653999999997</v>
      </c>
      <c r="T83" s="45">
        <v>-93.347069000000005</v>
      </c>
      <c r="U83" s="1"/>
      <c r="V83" s="1"/>
      <c r="W83" s="1"/>
      <c r="X83" s="1"/>
      <c r="Y83" s="1" t="s">
        <v>543</v>
      </c>
      <c r="Z83" s="1" t="s">
        <v>544</v>
      </c>
      <c r="AA83" s="1" t="s">
        <v>34</v>
      </c>
      <c r="AB83" s="1"/>
      <c r="AC83" s="2" t="s">
        <v>51</v>
      </c>
      <c r="AD83" s="2">
        <f t="shared" si="1"/>
        <v>2018</v>
      </c>
    </row>
    <row r="84" spans="1:30" hidden="1">
      <c r="A84" s="1" t="s">
        <v>333</v>
      </c>
      <c r="B84" s="3">
        <v>43264</v>
      </c>
      <c r="C84" s="1" t="s">
        <v>552</v>
      </c>
      <c r="D84" s="1" t="s">
        <v>197</v>
      </c>
      <c r="E84" s="1" t="s">
        <v>99</v>
      </c>
      <c r="F84" s="1" t="s">
        <v>34</v>
      </c>
      <c r="G84" s="2" t="s">
        <v>553</v>
      </c>
      <c r="H84" s="1" t="s">
        <v>554</v>
      </c>
      <c r="I84" s="6">
        <v>14000000</v>
      </c>
      <c r="J84" s="4">
        <v>23</v>
      </c>
      <c r="L84" s="4">
        <v>67000</v>
      </c>
      <c r="M84" s="1" t="s">
        <v>555</v>
      </c>
      <c r="N84" s="1" t="s">
        <v>48</v>
      </c>
      <c r="O84" s="1" t="s">
        <v>556</v>
      </c>
      <c r="Q84" s="1" t="s">
        <v>557</v>
      </c>
      <c r="R84" s="2">
        <v>55113</v>
      </c>
      <c r="S84" s="44">
        <v>45.006076999999998</v>
      </c>
      <c r="T84" s="45">
        <v>-93.156610999999998</v>
      </c>
      <c r="U84" s="1"/>
      <c r="V84" s="1"/>
      <c r="W84" s="1"/>
      <c r="X84" s="1"/>
      <c r="Y84" s="1"/>
      <c r="Z84" s="1"/>
      <c r="AA84" s="1"/>
      <c r="AB84" s="1"/>
      <c r="AC84" s="2" t="s">
        <v>51</v>
      </c>
      <c r="AD84" s="2">
        <f t="shared" si="1"/>
        <v>2018</v>
      </c>
    </row>
    <row r="85" spans="1:30" hidden="1">
      <c r="A85" s="1" t="s">
        <v>333</v>
      </c>
      <c r="B85" s="3">
        <v>43266</v>
      </c>
      <c r="C85" s="1" t="s">
        <v>558</v>
      </c>
      <c r="D85" s="1" t="s">
        <v>197</v>
      </c>
      <c r="E85" s="1" t="s">
        <v>99</v>
      </c>
      <c r="F85" s="1" t="s">
        <v>34</v>
      </c>
      <c r="G85" s="2" t="s">
        <v>559</v>
      </c>
      <c r="H85" s="1" t="s">
        <v>46</v>
      </c>
      <c r="I85" s="6">
        <v>26656410</v>
      </c>
      <c r="J85" s="4">
        <v>82</v>
      </c>
      <c r="L85" s="4">
        <v>150000</v>
      </c>
      <c r="M85" s="1" t="s">
        <v>57</v>
      </c>
      <c r="N85" s="1" t="s">
        <v>48</v>
      </c>
      <c r="O85" s="1" t="s">
        <v>560</v>
      </c>
      <c r="Q85" s="1" t="s">
        <v>561</v>
      </c>
      <c r="R85" s="2">
        <v>55113</v>
      </c>
      <c r="S85" s="44">
        <v>45.025959999999998</v>
      </c>
      <c r="T85" s="45">
        <v>-93.186132000000001</v>
      </c>
      <c r="U85" s="1" t="s">
        <v>60</v>
      </c>
      <c r="V85" s="1"/>
      <c r="W85" s="1"/>
      <c r="X85" s="1"/>
      <c r="Y85" s="1"/>
      <c r="Z85" s="1"/>
      <c r="AA85" s="1"/>
      <c r="AB85" s="1"/>
      <c r="AC85" s="2" t="s">
        <v>51</v>
      </c>
      <c r="AD85" s="2">
        <f t="shared" si="1"/>
        <v>2018</v>
      </c>
    </row>
    <row r="86" spans="1:30" hidden="1">
      <c r="A86" s="1" t="s">
        <v>333</v>
      </c>
      <c r="B86" s="3">
        <v>43269</v>
      </c>
      <c r="C86" s="1" t="s">
        <v>562</v>
      </c>
      <c r="D86" s="1" t="s">
        <v>563</v>
      </c>
      <c r="E86" s="1" t="s">
        <v>564</v>
      </c>
      <c r="F86" s="1" t="s">
        <v>34</v>
      </c>
      <c r="G86" s="2" t="s">
        <v>565</v>
      </c>
      <c r="H86" s="1" t="s">
        <v>389</v>
      </c>
      <c r="I86" s="6">
        <v>9200000</v>
      </c>
      <c r="J86" s="4">
        <v>15</v>
      </c>
      <c r="L86" s="4">
        <v>100000</v>
      </c>
      <c r="M86" s="1" t="s">
        <v>93</v>
      </c>
      <c r="N86" s="1" t="s">
        <v>48</v>
      </c>
      <c r="O86" s="1" t="s">
        <v>566</v>
      </c>
      <c r="Q86" s="1" t="s">
        <v>567</v>
      </c>
      <c r="R86" s="2">
        <v>56334</v>
      </c>
      <c r="S86" s="2">
        <v>45.649836000000001</v>
      </c>
      <c r="T86" s="2">
        <v>-95.388451099999997</v>
      </c>
      <c r="U86" s="1" t="s">
        <v>60</v>
      </c>
      <c r="V86" s="1"/>
      <c r="W86" s="1"/>
      <c r="X86" s="1"/>
      <c r="Y86" s="1"/>
      <c r="Z86" s="1"/>
      <c r="AA86" s="1"/>
      <c r="AB86" s="1"/>
      <c r="AC86" s="2" t="s">
        <v>51</v>
      </c>
      <c r="AD86" s="2">
        <f t="shared" si="1"/>
        <v>2018</v>
      </c>
    </row>
    <row r="87" spans="1:30" hidden="1">
      <c r="A87" s="1" t="s">
        <v>333</v>
      </c>
      <c r="B87" s="3">
        <v>43270</v>
      </c>
      <c r="C87" s="1" t="s">
        <v>568</v>
      </c>
      <c r="D87" s="1" t="s">
        <v>448</v>
      </c>
      <c r="E87" s="1" t="s">
        <v>66</v>
      </c>
      <c r="F87" s="1" t="s">
        <v>34</v>
      </c>
      <c r="G87" s="2" t="s">
        <v>569</v>
      </c>
      <c r="H87" s="1" t="s">
        <v>101</v>
      </c>
      <c r="I87" s="6"/>
      <c r="J87" s="4">
        <v>30</v>
      </c>
      <c r="L87" s="4"/>
      <c r="M87" s="1" t="s">
        <v>85</v>
      </c>
      <c r="N87" s="1" t="s">
        <v>86</v>
      </c>
      <c r="O87" s="1"/>
      <c r="Q87" s="1" t="s">
        <v>570</v>
      </c>
      <c r="R87" s="2">
        <v>55343</v>
      </c>
      <c r="S87" s="44">
        <v>44.893835000000003</v>
      </c>
      <c r="T87" s="45">
        <v>-93.415096000000005</v>
      </c>
      <c r="U87" s="1"/>
      <c r="V87" s="1"/>
      <c r="W87" s="1"/>
      <c r="X87" s="1"/>
      <c r="Y87" s="1"/>
      <c r="Z87" s="1"/>
      <c r="AA87" s="1"/>
      <c r="AB87" s="1"/>
      <c r="AC87" s="2" t="s">
        <v>51</v>
      </c>
      <c r="AD87" s="2">
        <f t="shared" si="1"/>
        <v>2018</v>
      </c>
    </row>
    <row r="88" spans="1:30" hidden="1">
      <c r="A88" s="1" t="s">
        <v>333</v>
      </c>
      <c r="B88" s="3">
        <v>43271</v>
      </c>
      <c r="C88" s="1" t="s">
        <v>571</v>
      </c>
      <c r="D88" s="1" t="s">
        <v>400</v>
      </c>
      <c r="E88" s="1" t="s">
        <v>572</v>
      </c>
      <c r="F88" s="1" t="s">
        <v>34</v>
      </c>
      <c r="G88" s="2" t="s">
        <v>573</v>
      </c>
      <c r="H88" s="1" t="s">
        <v>46</v>
      </c>
      <c r="I88" s="6">
        <v>2300000</v>
      </c>
      <c r="J88" s="4">
        <v>15</v>
      </c>
      <c r="L88" s="4">
        <v>12600</v>
      </c>
      <c r="M88" s="1" t="s">
        <v>574</v>
      </c>
      <c r="N88" s="1" t="s">
        <v>48</v>
      </c>
      <c r="O88" s="1" t="s">
        <v>575</v>
      </c>
      <c r="Q88" s="1" t="s">
        <v>576</v>
      </c>
      <c r="R88" s="2">
        <v>55362</v>
      </c>
      <c r="S88" s="44">
        <v>45.295572</v>
      </c>
      <c r="T88" s="45">
        <v>-93.773302999999999</v>
      </c>
      <c r="U88" s="1" t="s">
        <v>60</v>
      </c>
      <c r="V88" s="1"/>
      <c r="W88" s="1"/>
      <c r="X88" s="1"/>
      <c r="Y88" s="1"/>
      <c r="Z88" s="1"/>
      <c r="AA88" s="1"/>
      <c r="AB88" s="1"/>
      <c r="AC88" s="2" t="s">
        <v>41</v>
      </c>
      <c r="AD88" s="2">
        <f t="shared" si="1"/>
        <v>2018</v>
      </c>
    </row>
    <row r="89" spans="1:30" hidden="1">
      <c r="A89" s="1" t="s">
        <v>333</v>
      </c>
      <c r="B89" s="3">
        <v>43271</v>
      </c>
      <c r="C89" s="1" t="s">
        <v>577</v>
      </c>
      <c r="D89" s="1" t="s">
        <v>578</v>
      </c>
      <c r="E89" s="1" t="s">
        <v>112</v>
      </c>
      <c r="F89" s="1" t="s">
        <v>34</v>
      </c>
      <c r="G89" s="2" t="s">
        <v>579</v>
      </c>
      <c r="H89" s="1" t="s">
        <v>46</v>
      </c>
      <c r="I89" s="6">
        <v>5800000</v>
      </c>
      <c r="J89" s="4">
        <v>62</v>
      </c>
      <c r="L89" s="4"/>
      <c r="M89" s="1" t="s">
        <v>57</v>
      </c>
      <c r="N89" s="1" t="s">
        <v>48</v>
      </c>
      <c r="O89" s="1" t="s">
        <v>575</v>
      </c>
      <c r="Q89" s="1" t="s">
        <v>580</v>
      </c>
      <c r="R89" s="2">
        <v>55976</v>
      </c>
      <c r="S89" s="44">
        <v>43.866067999999999</v>
      </c>
      <c r="T89" s="45">
        <v>-92.490588000000002</v>
      </c>
      <c r="U89" s="1" t="s">
        <v>60</v>
      </c>
      <c r="V89" s="1"/>
      <c r="W89" s="1"/>
      <c r="X89" s="1"/>
      <c r="Y89" s="1"/>
      <c r="Z89" s="1"/>
      <c r="AA89" s="1"/>
      <c r="AB89" s="1"/>
      <c r="AC89" s="2" t="s">
        <v>120</v>
      </c>
      <c r="AD89" s="2">
        <f t="shared" si="1"/>
        <v>2018</v>
      </c>
    </row>
    <row r="90" spans="1:30" hidden="1">
      <c r="A90" s="1" t="s">
        <v>333</v>
      </c>
      <c r="B90" s="3">
        <v>43271</v>
      </c>
      <c r="C90" s="1" t="s">
        <v>581</v>
      </c>
      <c r="D90" s="1" t="s">
        <v>582</v>
      </c>
      <c r="E90" s="1" t="s">
        <v>395</v>
      </c>
      <c r="F90" s="1" t="s">
        <v>34</v>
      </c>
      <c r="G90" s="2" t="s">
        <v>583</v>
      </c>
      <c r="H90" s="1" t="s">
        <v>554</v>
      </c>
      <c r="I90" s="6">
        <v>2400000</v>
      </c>
      <c r="J90" s="4">
        <v>5</v>
      </c>
      <c r="L90" s="4">
        <v>28000</v>
      </c>
      <c r="M90" s="1" t="s">
        <v>450</v>
      </c>
      <c r="N90" s="1" t="s">
        <v>48</v>
      </c>
      <c r="O90" s="1" t="s">
        <v>584</v>
      </c>
      <c r="Q90" s="1" t="s">
        <v>585</v>
      </c>
      <c r="R90" s="2">
        <v>55398</v>
      </c>
      <c r="S90" s="2">
        <v>45.443401299999998</v>
      </c>
      <c r="T90" s="2">
        <v>-93.589698799999994</v>
      </c>
      <c r="U90" s="1"/>
      <c r="V90" s="1"/>
      <c r="W90" s="1"/>
      <c r="X90" s="1"/>
      <c r="Y90" s="1"/>
      <c r="Z90" s="1"/>
      <c r="AA90" s="1"/>
      <c r="AB90" s="1"/>
      <c r="AC90" s="2" t="s">
        <v>51</v>
      </c>
      <c r="AD90" s="2">
        <f t="shared" si="1"/>
        <v>2018</v>
      </c>
    </row>
    <row r="91" spans="1:30" hidden="1">
      <c r="A91" s="1" t="s">
        <v>333</v>
      </c>
      <c r="B91" s="3">
        <v>43275</v>
      </c>
      <c r="C91" s="1" t="s">
        <v>586</v>
      </c>
      <c r="D91" s="1" t="s">
        <v>65</v>
      </c>
      <c r="E91" s="1" t="s">
        <v>66</v>
      </c>
      <c r="F91" s="1" t="s">
        <v>34</v>
      </c>
      <c r="G91" s="2" t="s">
        <v>587</v>
      </c>
      <c r="H91" s="1" t="s">
        <v>188</v>
      </c>
      <c r="I91" s="6"/>
      <c r="J91" s="4"/>
      <c r="L91" s="4">
        <v>10000</v>
      </c>
      <c r="M91" s="1"/>
      <c r="N91" s="1" t="s">
        <v>37</v>
      </c>
      <c r="O91" s="1" t="s">
        <v>588</v>
      </c>
      <c r="Q91" s="1" t="s">
        <v>589</v>
      </c>
      <c r="R91" s="2">
        <v>55403</v>
      </c>
      <c r="S91" s="44">
        <v>44.971443999999998</v>
      </c>
      <c r="T91" s="45">
        <v>-93.275881999999996</v>
      </c>
      <c r="U91" s="1"/>
      <c r="V91" s="1"/>
      <c r="W91" s="1"/>
      <c r="X91" s="1"/>
      <c r="Y91" s="1" t="s">
        <v>590</v>
      </c>
      <c r="Z91" s="1" t="s">
        <v>591</v>
      </c>
      <c r="AA91" s="1" t="s">
        <v>34</v>
      </c>
      <c r="AB91" s="1"/>
      <c r="AC91" s="2" t="s">
        <v>51</v>
      </c>
      <c r="AD91" s="2">
        <f t="shared" si="1"/>
        <v>2018</v>
      </c>
    </row>
    <row r="92" spans="1:30" hidden="1">
      <c r="A92" s="1" t="s">
        <v>333</v>
      </c>
      <c r="B92" s="3">
        <v>43276</v>
      </c>
      <c r="C92" s="1" t="s">
        <v>592</v>
      </c>
      <c r="D92" s="1" t="s">
        <v>203</v>
      </c>
      <c r="E92" s="1" t="s">
        <v>74</v>
      </c>
      <c r="F92" s="1" t="s">
        <v>34</v>
      </c>
      <c r="G92" s="2" t="s">
        <v>593</v>
      </c>
      <c r="H92" s="1" t="s">
        <v>68</v>
      </c>
      <c r="I92" s="6"/>
      <c r="J92" s="4">
        <v>85</v>
      </c>
      <c r="L92" s="4"/>
      <c r="M92" s="1"/>
      <c r="N92" s="1" t="s">
        <v>253</v>
      </c>
      <c r="O92" s="1" t="s">
        <v>594</v>
      </c>
      <c r="Q92" s="1" t="s">
        <v>595</v>
      </c>
      <c r="R92" s="2">
        <v>55121</v>
      </c>
      <c r="S92" s="2">
        <v>44.834387</v>
      </c>
      <c r="T92" s="2">
        <v>-93.139977000000002</v>
      </c>
      <c r="U92" s="1"/>
      <c r="V92" s="1"/>
      <c r="W92" s="1"/>
      <c r="X92" s="1"/>
      <c r="Y92" s="1"/>
      <c r="Z92" s="1"/>
      <c r="AA92" s="1"/>
      <c r="AB92" s="1"/>
      <c r="AC92" s="2" t="s">
        <v>51</v>
      </c>
      <c r="AD92" s="2">
        <f t="shared" si="1"/>
        <v>2018</v>
      </c>
    </row>
    <row r="93" spans="1:30" hidden="1">
      <c r="A93" s="1" t="s">
        <v>333</v>
      </c>
      <c r="B93" s="3">
        <v>43277</v>
      </c>
      <c r="C93" s="1" t="s">
        <v>596</v>
      </c>
      <c r="D93" s="1" t="s">
        <v>292</v>
      </c>
      <c r="E93" s="1" t="s">
        <v>66</v>
      </c>
      <c r="F93" s="1" t="s">
        <v>34</v>
      </c>
      <c r="G93" s="2" t="s">
        <v>597</v>
      </c>
      <c r="H93" s="1" t="s">
        <v>46</v>
      </c>
      <c r="I93" s="6">
        <v>600000</v>
      </c>
      <c r="J93" s="4">
        <v>47</v>
      </c>
      <c r="L93" s="4">
        <v>7000</v>
      </c>
      <c r="M93" s="1" t="s">
        <v>47</v>
      </c>
      <c r="N93" s="1" t="s">
        <v>48</v>
      </c>
      <c r="O93" s="1" t="s">
        <v>598</v>
      </c>
      <c r="Q93" s="1" t="s">
        <v>599</v>
      </c>
      <c r="R93" s="2">
        <v>55430</v>
      </c>
      <c r="S93" s="2">
        <v>45.076290999999998</v>
      </c>
      <c r="T93" s="2">
        <v>-93.315753000000001</v>
      </c>
      <c r="U93" s="1" t="s">
        <v>60</v>
      </c>
      <c r="V93" s="1"/>
      <c r="W93" s="1"/>
      <c r="X93" s="1"/>
      <c r="Y93" s="1"/>
      <c r="Z93" s="1"/>
      <c r="AA93" s="1"/>
      <c r="AB93" s="1"/>
      <c r="AC93" s="2" t="s">
        <v>51</v>
      </c>
      <c r="AD93" s="2">
        <f t="shared" si="1"/>
        <v>2018</v>
      </c>
    </row>
    <row r="94" spans="1:30" hidden="1">
      <c r="A94" s="1" t="s">
        <v>333</v>
      </c>
      <c r="B94" s="3">
        <v>43277</v>
      </c>
      <c r="C94" s="1" t="s">
        <v>600</v>
      </c>
      <c r="D94" s="1" t="s">
        <v>601</v>
      </c>
      <c r="E94" s="1" t="s">
        <v>74</v>
      </c>
      <c r="F94" s="1" t="s">
        <v>34</v>
      </c>
      <c r="G94" s="2" t="s">
        <v>602</v>
      </c>
      <c r="H94" s="1" t="s">
        <v>389</v>
      </c>
      <c r="I94" s="6"/>
      <c r="J94" s="4">
        <v>225</v>
      </c>
      <c r="L94" s="4"/>
      <c r="M94" s="1"/>
      <c r="N94" s="1" t="s">
        <v>77</v>
      </c>
      <c r="O94" s="1"/>
      <c r="Q94" s="1" t="s">
        <v>603</v>
      </c>
      <c r="R94" s="2">
        <v>55120</v>
      </c>
      <c r="S94" s="44">
        <v>44.865186999999999</v>
      </c>
      <c r="T94" s="45">
        <v>-93.161444000000003</v>
      </c>
      <c r="U94" s="1"/>
      <c r="V94" s="1"/>
      <c r="W94" s="1"/>
      <c r="X94" s="1"/>
      <c r="Y94" s="1"/>
      <c r="Z94" s="1"/>
      <c r="AA94" s="1"/>
      <c r="AB94" s="1"/>
      <c r="AC94" s="2" t="s">
        <v>51</v>
      </c>
      <c r="AD94" s="2">
        <f t="shared" si="1"/>
        <v>2018</v>
      </c>
    </row>
    <row r="95" spans="1:30" hidden="1">
      <c r="A95" s="1" t="s">
        <v>333</v>
      </c>
      <c r="B95" s="3">
        <v>43278</v>
      </c>
      <c r="C95" s="1" t="s">
        <v>604</v>
      </c>
      <c r="D95" s="1" t="s">
        <v>65</v>
      </c>
      <c r="E95" s="1" t="s">
        <v>66</v>
      </c>
      <c r="F95" s="1" t="s">
        <v>34</v>
      </c>
      <c r="G95" s="2" t="s">
        <v>605</v>
      </c>
      <c r="H95" s="1" t="s">
        <v>68</v>
      </c>
      <c r="I95" s="6"/>
      <c r="J95" s="4">
        <v>20</v>
      </c>
      <c r="L95" s="4"/>
      <c r="M95" s="1" t="s">
        <v>167</v>
      </c>
      <c r="N95" s="1" t="s">
        <v>48</v>
      </c>
      <c r="O95" s="1" t="s">
        <v>606</v>
      </c>
      <c r="Q95" s="47" t="s">
        <v>607</v>
      </c>
      <c r="R95" s="2">
        <v>55437</v>
      </c>
      <c r="S95" s="44">
        <v>44.850085</v>
      </c>
      <c r="T95" s="45">
        <v>-93.354376000000002</v>
      </c>
      <c r="U95" s="1" t="s">
        <v>143</v>
      </c>
      <c r="V95" s="1"/>
      <c r="W95" s="1"/>
      <c r="X95" s="1"/>
      <c r="Y95" s="1"/>
      <c r="Z95" s="1"/>
      <c r="AA95" s="1"/>
      <c r="AB95" s="1"/>
      <c r="AC95" s="2" t="s">
        <v>51</v>
      </c>
      <c r="AD95" s="2">
        <f t="shared" si="1"/>
        <v>2018</v>
      </c>
    </row>
    <row r="96" spans="1:30" hidden="1">
      <c r="A96" s="1" t="s">
        <v>333</v>
      </c>
      <c r="B96" s="3">
        <v>43278</v>
      </c>
      <c r="C96" s="1" t="s">
        <v>608</v>
      </c>
      <c r="D96" s="1" t="s">
        <v>544</v>
      </c>
      <c r="E96" s="1" t="s">
        <v>66</v>
      </c>
      <c r="F96" s="1" t="s">
        <v>34</v>
      </c>
      <c r="G96" s="2" t="s">
        <v>609</v>
      </c>
      <c r="H96" s="1" t="s">
        <v>68</v>
      </c>
      <c r="I96" s="6"/>
      <c r="J96" s="4">
        <v>10</v>
      </c>
      <c r="L96" s="4">
        <v>8000</v>
      </c>
      <c r="M96" s="1"/>
      <c r="N96" s="2" t="s">
        <v>610</v>
      </c>
      <c r="O96" s="1" t="s">
        <v>611</v>
      </c>
      <c r="Q96" s="1" t="s">
        <v>612</v>
      </c>
      <c r="R96" s="2">
        <v>55416</v>
      </c>
      <c r="S96" s="44">
        <v>44.940911</v>
      </c>
      <c r="T96" s="45">
        <v>-93.341892999999999</v>
      </c>
      <c r="U96" s="1"/>
      <c r="V96" s="1"/>
      <c r="W96" s="1"/>
      <c r="X96" s="1"/>
      <c r="Y96" s="1"/>
      <c r="Z96" s="1"/>
      <c r="AA96" s="1"/>
      <c r="AB96" s="1"/>
      <c r="AC96" s="2" t="s">
        <v>51</v>
      </c>
      <c r="AD96" s="2">
        <f t="shared" si="1"/>
        <v>2018</v>
      </c>
    </row>
    <row r="97" spans="1:30" hidden="1">
      <c r="A97" s="1" t="s">
        <v>333</v>
      </c>
      <c r="B97" s="3">
        <v>43280</v>
      </c>
      <c r="C97" s="1" t="s">
        <v>613</v>
      </c>
      <c r="D97" s="1" t="s">
        <v>122</v>
      </c>
      <c r="E97" s="1" t="s">
        <v>123</v>
      </c>
      <c r="F97" s="1" t="s">
        <v>34</v>
      </c>
      <c r="G97" s="2" t="s">
        <v>614</v>
      </c>
      <c r="H97" s="1" t="s">
        <v>48</v>
      </c>
      <c r="I97" s="6">
        <v>28350000</v>
      </c>
      <c r="J97" s="4">
        <v>325</v>
      </c>
      <c r="L97" s="4">
        <v>12500</v>
      </c>
      <c r="M97" s="1" t="s">
        <v>47</v>
      </c>
      <c r="N97" s="1" t="s">
        <v>48</v>
      </c>
      <c r="O97" s="1" t="s">
        <v>615</v>
      </c>
      <c r="Q97" s="1" t="s">
        <v>616</v>
      </c>
      <c r="R97" s="2">
        <v>56156</v>
      </c>
      <c r="S97" s="44">
        <v>43.654209000000002</v>
      </c>
      <c r="T97" s="45">
        <v>-96.215320000000006</v>
      </c>
      <c r="U97" s="1"/>
      <c r="V97" s="1"/>
      <c r="W97" s="1"/>
      <c r="X97" s="1"/>
      <c r="Y97" s="1" t="s">
        <v>613</v>
      </c>
      <c r="Z97" s="1" t="s">
        <v>617</v>
      </c>
      <c r="AA97" s="1" t="s">
        <v>618</v>
      </c>
      <c r="AB97" s="1"/>
      <c r="AC97" s="2" t="s">
        <v>120</v>
      </c>
      <c r="AD97" s="2">
        <f t="shared" si="1"/>
        <v>2018</v>
      </c>
    </row>
    <row r="98" spans="1:30" hidden="1">
      <c r="A98" s="1" t="s">
        <v>413</v>
      </c>
      <c r="B98" s="3">
        <v>43286</v>
      </c>
      <c r="C98" s="1" t="s">
        <v>619</v>
      </c>
      <c r="D98" s="1" t="s">
        <v>281</v>
      </c>
      <c r="E98" s="1" t="s">
        <v>282</v>
      </c>
      <c r="F98" s="1" t="s">
        <v>34</v>
      </c>
      <c r="G98" s="2" t="s">
        <v>620</v>
      </c>
      <c r="H98" s="1" t="s">
        <v>621</v>
      </c>
      <c r="I98" s="6">
        <v>2100000</v>
      </c>
      <c r="J98" s="4"/>
      <c r="L98" s="4">
        <v>6400</v>
      </c>
      <c r="M98" s="1"/>
      <c r="N98" s="1" t="s">
        <v>37</v>
      </c>
      <c r="O98" s="1" t="s">
        <v>622</v>
      </c>
      <c r="P98" s="1"/>
      <c r="Q98" s="1" t="s">
        <v>623</v>
      </c>
      <c r="R98" s="2">
        <v>55350</v>
      </c>
      <c r="S98" s="2">
        <v>44.875701900000003</v>
      </c>
      <c r="T98" s="2">
        <v>-94.375503499999994</v>
      </c>
      <c r="U98" s="1"/>
      <c r="V98" s="1"/>
      <c r="W98" s="1"/>
      <c r="X98" s="1"/>
      <c r="Y98" s="1"/>
      <c r="Z98" s="1"/>
      <c r="AA98" s="1"/>
      <c r="AB98" s="1"/>
      <c r="AC98" s="2" t="s">
        <v>41</v>
      </c>
      <c r="AD98" s="2">
        <f t="shared" si="1"/>
        <v>2018</v>
      </c>
    </row>
    <row r="99" spans="1:30" hidden="1">
      <c r="A99" s="1" t="s">
        <v>413</v>
      </c>
      <c r="B99" s="3">
        <v>43287</v>
      </c>
      <c r="C99" s="1" t="s">
        <v>624</v>
      </c>
      <c r="D99" s="1" t="s">
        <v>625</v>
      </c>
      <c r="E99" s="1" t="s">
        <v>182</v>
      </c>
      <c r="F99" s="1" t="s">
        <v>34</v>
      </c>
      <c r="G99" s="2" t="s">
        <v>626</v>
      </c>
      <c r="H99" s="1" t="s">
        <v>389</v>
      </c>
      <c r="I99" s="6">
        <v>3389000</v>
      </c>
      <c r="J99" s="4">
        <v>5</v>
      </c>
      <c r="L99" s="4">
        <v>21000</v>
      </c>
      <c r="M99" s="1" t="s">
        <v>356</v>
      </c>
      <c r="N99" s="1" t="s">
        <v>48</v>
      </c>
      <c r="O99" s="1" t="s">
        <v>627</v>
      </c>
      <c r="Q99" s="1" t="s">
        <v>628</v>
      </c>
      <c r="R99" s="2">
        <v>56003</v>
      </c>
      <c r="S99" s="44">
        <v>44.173299999999998</v>
      </c>
      <c r="T99" s="45">
        <v>-94.033844999999999</v>
      </c>
      <c r="U99" s="1"/>
      <c r="V99" s="1"/>
      <c r="W99" s="1"/>
      <c r="X99" s="1"/>
      <c r="Y99" s="1"/>
      <c r="Z99" s="1"/>
      <c r="AA99" s="1"/>
      <c r="AB99" s="1"/>
      <c r="AC99" s="2" t="s">
        <v>120</v>
      </c>
      <c r="AD99" s="2">
        <f t="shared" si="1"/>
        <v>2018</v>
      </c>
    </row>
    <row r="100" spans="1:30" hidden="1">
      <c r="A100" s="1" t="s">
        <v>413</v>
      </c>
      <c r="B100" s="3">
        <v>43292</v>
      </c>
      <c r="C100" s="1" t="s">
        <v>629</v>
      </c>
      <c r="D100" s="1" t="s">
        <v>415</v>
      </c>
      <c r="E100" s="1" t="s">
        <v>395</v>
      </c>
      <c r="F100" s="1" t="s">
        <v>34</v>
      </c>
      <c r="G100" s="2" t="s">
        <v>630</v>
      </c>
      <c r="H100" s="1" t="s">
        <v>101</v>
      </c>
      <c r="I100" s="6"/>
      <c r="J100" s="4">
        <v>12</v>
      </c>
      <c r="L100" s="4"/>
      <c r="M100" s="1" t="s">
        <v>318</v>
      </c>
      <c r="N100" s="1" t="s">
        <v>86</v>
      </c>
      <c r="O100" s="1" t="s">
        <v>631</v>
      </c>
      <c r="Q100" s="1" t="s">
        <v>632</v>
      </c>
      <c r="R100" s="2">
        <v>56303</v>
      </c>
      <c r="S100" s="44">
        <v>45.565277999999999</v>
      </c>
      <c r="T100" s="45">
        <v>-94.205136999999993</v>
      </c>
      <c r="U100" s="1"/>
      <c r="V100" s="1"/>
      <c r="W100" s="1"/>
      <c r="X100" s="1"/>
      <c r="Y100" s="1" t="s">
        <v>629</v>
      </c>
      <c r="Z100" s="1" t="s">
        <v>65</v>
      </c>
      <c r="AA100" s="1" t="s">
        <v>34</v>
      </c>
      <c r="AB100" s="1"/>
      <c r="AC100" s="2" t="s">
        <v>41</v>
      </c>
      <c r="AD100" s="2">
        <f t="shared" si="1"/>
        <v>2018</v>
      </c>
    </row>
    <row r="101" spans="1:30" hidden="1">
      <c r="A101" s="1" t="s">
        <v>413</v>
      </c>
      <c r="B101" s="3">
        <v>43292</v>
      </c>
      <c r="C101" s="1" t="s">
        <v>633</v>
      </c>
      <c r="D101" s="1" t="s">
        <v>292</v>
      </c>
      <c r="E101" s="1" t="s">
        <v>66</v>
      </c>
      <c r="F101" s="1" t="s">
        <v>34</v>
      </c>
      <c r="G101" s="2" t="s">
        <v>634</v>
      </c>
      <c r="H101" s="1" t="s">
        <v>188</v>
      </c>
      <c r="I101" s="6"/>
      <c r="J101" s="4">
        <v>500</v>
      </c>
      <c r="L101" s="4"/>
      <c r="M101" s="1"/>
      <c r="N101" s="2" t="s">
        <v>610</v>
      </c>
      <c r="O101" s="1" t="s">
        <v>635</v>
      </c>
      <c r="Q101" s="1" t="s">
        <v>636</v>
      </c>
      <c r="R101" s="2">
        <v>55430</v>
      </c>
      <c r="S101" s="44">
        <v>45.072021999999997</v>
      </c>
      <c r="T101" s="45">
        <v>-93.288172000000003</v>
      </c>
      <c r="U101" s="1"/>
      <c r="V101" s="1"/>
      <c r="W101" s="1"/>
      <c r="X101" s="1"/>
      <c r="Y101" s="1" t="s">
        <v>633</v>
      </c>
      <c r="Z101" s="1" t="s">
        <v>637</v>
      </c>
      <c r="AA101" s="1" t="s">
        <v>638</v>
      </c>
      <c r="AB101" s="1"/>
      <c r="AC101" s="2" t="s">
        <v>51</v>
      </c>
      <c r="AD101" s="2">
        <f t="shared" si="1"/>
        <v>2018</v>
      </c>
    </row>
    <row r="102" spans="1:30" hidden="1">
      <c r="A102" s="1" t="s">
        <v>413</v>
      </c>
      <c r="B102" s="3">
        <v>43293</v>
      </c>
      <c r="C102" s="1" t="s">
        <v>639</v>
      </c>
      <c r="D102" s="1" t="s">
        <v>65</v>
      </c>
      <c r="E102" s="1" t="s">
        <v>66</v>
      </c>
      <c r="F102" s="1" t="s">
        <v>34</v>
      </c>
      <c r="G102" s="2" t="s">
        <v>640</v>
      </c>
      <c r="H102" s="1" t="s">
        <v>68</v>
      </c>
      <c r="I102" s="6"/>
      <c r="J102" s="4">
        <v>8</v>
      </c>
      <c r="L102" s="4"/>
      <c r="M102" s="1" t="s">
        <v>85</v>
      </c>
      <c r="N102" s="1" t="s">
        <v>86</v>
      </c>
      <c r="O102" s="1" t="s">
        <v>641</v>
      </c>
      <c r="Q102" s="1" t="s">
        <v>642</v>
      </c>
      <c r="R102" s="2">
        <v>55402</v>
      </c>
      <c r="S102" s="44">
        <v>44.973908000000002</v>
      </c>
      <c r="T102" s="45">
        <v>-93.272418999999999</v>
      </c>
      <c r="U102" s="1"/>
      <c r="V102" s="1"/>
      <c r="W102" s="1"/>
      <c r="X102" s="1"/>
      <c r="Y102" s="1"/>
      <c r="Z102" s="1"/>
      <c r="AA102" s="1"/>
      <c r="AB102" s="1"/>
      <c r="AC102" s="2" t="s">
        <v>51</v>
      </c>
      <c r="AD102" s="2">
        <f t="shared" si="1"/>
        <v>2018</v>
      </c>
    </row>
    <row r="103" spans="1:30" hidden="1">
      <c r="A103" s="1" t="s">
        <v>413</v>
      </c>
      <c r="B103" s="3">
        <v>43293</v>
      </c>
      <c r="C103" s="1" t="s">
        <v>643</v>
      </c>
      <c r="D103" s="1" t="s">
        <v>96</v>
      </c>
      <c r="E103" s="1" t="s">
        <v>99</v>
      </c>
      <c r="F103" s="1" t="s">
        <v>34</v>
      </c>
      <c r="G103" s="2" t="s">
        <v>644</v>
      </c>
      <c r="H103" s="1" t="s">
        <v>645</v>
      </c>
      <c r="I103" s="6">
        <v>320000</v>
      </c>
      <c r="J103" s="4"/>
      <c r="L103" s="4"/>
      <c r="M103" s="1" t="s">
        <v>294</v>
      </c>
      <c r="N103" s="1" t="s">
        <v>86</v>
      </c>
      <c r="O103" s="1" t="s">
        <v>646</v>
      </c>
      <c r="P103" s="2" t="s">
        <v>647</v>
      </c>
      <c r="Q103" s="1" t="s">
        <v>648</v>
      </c>
      <c r="R103" s="2">
        <v>55117</v>
      </c>
      <c r="S103" s="2">
        <v>44.968626</v>
      </c>
      <c r="T103" s="2">
        <v>-93.106790000000004</v>
      </c>
      <c r="U103" s="1"/>
      <c r="V103" s="1"/>
      <c r="W103" s="1"/>
      <c r="X103" s="1"/>
      <c r="Y103" s="1" t="s">
        <v>643</v>
      </c>
      <c r="Z103" s="1" t="s">
        <v>65</v>
      </c>
      <c r="AA103" s="1" t="s">
        <v>34</v>
      </c>
      <c r="AB103" s="1"/>
      <c r="AC103" s="2" t="s">
        <v>41</v>
      </c>
      <c r="AD103" s="2">
        <f t="shared" si="1"/>
        <v>2018</v>
      </c>
    </row>
    <row r="104" spans="1:30" hidden="1">
      <c r="A104" s="1" t="s">
        <v>413</v>
      </c>
      <c r="B104" s="3">
        <v>43294</v>
      </c>
      <c r="C104" s="1" t="s">
        <v>649</v>
      </c>
      <c r="D104" s="1" t="s">
        <v>65</v>
      </c>
      <c r="E104" s="1" t="s">
        <v>66</v>
      </c>
      <c r="F104" s="1" t="s">
        <v>34</v>
      </c>
      <c r="G104" s="2" t="s">
        <v>650</v>
      </c>
      <c r="H104" s="1" t="s">
        <v>188</v>
      </c>
      <c r="I104" s="6"/>
      <c r="J104" s="4">
        <v>35</v>
      </c>
      <c r="K104" s="2">
        <v>50</v>
      </c>
      <c r="L104" s="4">
        <v>15000</v>
      </c>
      <c r="M104" s="1"/>
      <c r="N104" s="1" t="s">
        <v>37</v>
      </c>
      <c r="O104" s="1" t="s">
        <v>651</v>
      </c>
      <c r="Q104" s="1" t="s">
        <v>652</v>
      </c>
      <c r="R104" s="2">
        <v>55408</v>
      </c>
      <c r="S104" s="44">
        <v>44.948214</v>
      </c>
      <c r="T104" s="45">
        <v>-93.299628999999996</v>
      </c>
      <c r="U104" s="1"/>
      <c r="V104" s="1"/>
      <c r="W104" s="1"/>
      <c r="X104" s="1"/>
      <c r="Y104" s="1"/>
      <c r="Z104" s="1"/>
      <c r="AA104" s="1"/>
      <c r="AB104" s="1"/>
      <c r="AC104" s="2" t="s">
        <v>51</v>
      </c>
      <c r="AD104" s="2">
        <f t="shared" si="1"/>
        <v>2018</v>
      </c>
    </row>
    <row r="105" spans="1:30" hidden="1">
      <c r="A105" s="1" t="s">
        <v>413</v>
      </c>
      <c r="B105" s="3">
        <v>43294</v>
      </c>
      <c r="C105" s="1" t="s">
        <v>653</v>
      </c>
      <c r="D105" s="1" t="s">
        <v>65</v>
      </c>
      <c r="E105" s="1" t="s">
        <v>66</v>
      </c>
      <c r="F105" s="1" t="s">
        <v>34</v>
      </c>
      <c r="G105" s="2" t="s">
        <v>654</v>
      </c>
      <c r="H105" s="1" t="s">
        <v>188</v>
      </c>
      <c r="I105" s="6"/>
      <c r="J105" s="4">
        <v>44</v>
      </c>
      <c r="L105" s="4"/>
      <c r="M105" s="1" t="s">
        <v>574</v>
      </c>
      <c r="N105" s="1" t="s">
        <v>48</v>
      </c>
      <c r="O105" s="1" t="s">
        <v>651</v>
      </c>
      <c r="Q105" s="1" t="s">
        <v>655</v>
      </c>
      <c r="R105" s="2">
        <v>55413</v>
      </c>
      <c r="S105" s="44">
        <v>44.989811000000003</v>
      </c>
      <c r="T105" s="45">
        <v>-93.256564999999995</v>
      </c>
      <c r="U105" s="1" t="s">
        <v>60</v>
      </c>
      <c r="V105" s="1"/>
      <c r="W105" s="1"/>
      <c r="X105" s="1"/>
      <c r="Y105" s="1"/>
      <c r="Z105" s="1"/>
      <c r="AA105" s="1"/>
      <c r="AB105" s="1"/>
      <c r="AC105" s="2" t="s">
        <v>51</v>
      </c>
      <c r="AD105" s="2">
        <f t="shared" si="1"/>
        <v>2018</v>
      </c>
    </row>
    <row r="106" spans="1:30" hidden="1">
      <c r="A106" s="1" t="s">
        <v>413</v>
      </c>
      <c r="B106" s="3">
        <v>43294</v>
      </c>
      <c r="C106" s="1" t="s">
        <v>656</v>
      </c>
      <c r="D106" s="1" t="s">
        <v>65</v>
      </c>
      <c r="E106" s="1" t="s">
        <v>66</v>
      </c>
      <c r="F106" s="1" t="s">
        <v>34</v>
      </c>
      <c r="G106" s="2" t="s">
        <v>657</v>
      </c>
      <c r="H106" s="1" t="s">
        <v>68</v>
      </c>
      <c r="I106" s="6">
        <v>125000000</v>
      </c>
      <c r="J106" s="4"/>
      <c r="K106" s="2">
        <v>1300</v>
      </c>
      <c r="L106" s="4">
        <v>364000</v>
      </c>
      <c r="M106" s="1"/>
      <c r="N106" s="1" t="s">
        <v>140</v>
      </c>
      <c r="O106" s="1" t="s">
        <v>651</v>
      </c>
      <c r="P106" s="2" t="s">
        <v>658</v>
      </c>
      <c r="Q106" s="1" t="s">
        <v>659</v>
      </c>
      <c r="R106" s="2">
        <v>55415</v>
      </c>
      <c r="S106" s="44">
        <v>44.974767999999997</v>
      </c>
      <c r="T106" s="45">
        <v>-93.265685000000005</v>
      </c>
      <c r="U106" s="1" t="s">
        <v>60</v>
      </c>
      <c r="V106" s="1"/>
      <c r="W106" s="1"/>
      <c r="X106" s="1"/>
      <c r="Y106" s="1"/>
      <c r="Z106" s="1"/>
      <c r="AA106" s="1"/>
      <c r="AB106" s="1"/>
      <c r="AC106" s="2" t="s">
        <v>51</v>
      </c>
      <c r="AD106" s="2">
        <f t="shared" si="1"/>
        <v>2018</v>
      </c>
    </row>
    <row r="107" spans="1:30" hidden="1">
      <c r="A107" s="1" t="s">
        <v>413</v>
      </c>
      <c r="B107" s="3">
        <v>43294</v>
      </c>
      <c r="C107" s="1" t="s">
        <v>660</v>
      </c>
      <c r="D107" s="1" t="s">
        <v>65</v>
      </c>
      <c r="E107" s="1" t="s">
        <v>66</v>
      </c>
      <c r="F107" s="1" t="s">
        <v>34</v>
      </c>
      <c r="G107" s="2" t="s">
        <v>661</v>
      </c>
      <c r="H107" s="1" t="s">
        <v>68</v>
      </c>
      <c r="I107" s="6"/>
      <c r="J107" s="4">
        <v>7</v>
      </c>
      <c r="L107" s="4"/>
      <c r="M107" s="1" t="s">
        <v>390</v>
      </c>
      <c r="N107" s="1" t="s">
        <v>86</v>
      </c>
      <c r="O107" s="1"/>
      <c r="Q107" s="1" t="s">
        <v>662</v>
      </c>
      <c r="R107" s="2">
        <v>55401</v>
      </c>
      <c r="S107" s="44">
        <v>44.984710999999997</v>
      </c>
      <c r="T107" s="45">
        <v>-93.271122000000005</v>
      </c>
      <c r="U107" s="1"/>
      <c r="V107" s="1"/>
      <c r="W107" s="1"/>
      <c r="X107" s="1"/>
      <c r="Y107" s="1"/>
      <c r="Z107" s="1"/>
      <c r="AA107" s="1"/>
      <c r="AB107" s="1"/>
      <c r="AC107" s="2" t="s">
        <v>51</v>
      </c>
      <c r="AD107" s="2">
        <f t="shared" si="1"/>
        <v>2018</v>
      </c>
    </row>
    <row r="108" spans="1:30" hidden="1">
      <c r="A108" s="1" t="s">
        <v>333</v>
      </c>
      <c r="B108" s="3">
        <v>43297</v>
      </c>
      <c r="C108" s="1" t="s">
        <v>663</v>
      </c>
      <c r="D108" s="1" t="s">
        <v>505</v>
      </c>
      <c r="E108" s="1" t="s">
        <v>335</v>
      </c>
      <c r="F108" s="1" t="s">
        <v>34</v>
      </c>
      <c r="G108" s="2" t="s">
        <v>664</v>
      </c>
      <c r="H108" s="1" t="s">
        <v>199</v>
      </c>
      <c r="I108" s="6">
        <v>2000000</v>
      </c>
      <c r="J108" s="4"/>
      <c r="L108" s="4"/>
      <c r="M108" s="1"/>
      <c r="N108" s="1" t="s">
        <v>665</v>
      </c>
      <c r="O108" s="1" t="s">
        <v>666</v>
      </c>
      <c r="Q108" s="1" t="s">
        <v>667</v>
      </c>
      <c r="R108" s="2">
        <v>55379</v>
      </c>
      <c r="S108" s="2">
        <v>44.761200000000002</v>
      </c>
      <c r="T108" s="2">
        <v>-93.584198000000001</v>
      </c>
      <c r="U108" s="1"/>
      <c r="V108" s="1"/>
      <c r="W108" s="1"/>
      <c r="X108" s="1"/>
      <c r="Y108" s="1"/>
      <c r="Z108" s="1"/>
      <c r="AA108" s="1"/>
      <c r="AB108" s="1"/>
      <c r="AC108" s="2" t="s">
        <v>41</v>
      </c>
      <c r="AD108" s="2">
        <f t="shared" si="1"/>
        <v>2018</v>
      </c>
    </row>
    <row r="109" spans="1:30" hidden="1">
      <c r="A109" s="1" t="s">
        <v>413</v>
      </c>
      <c r="B109" s="3">
        <v>43298</v>
      </c>
      <c r="C109" s="1" t="s">
        <v>668</v>
      </c>
      <c r="D109" s="1" t="s">
        <v>65</v>
      </c>
      <c r="E109" s="1" t="s">
        <v>66</v>
      </c>
      <c r="F109" s="1" t="s">
        <v>34</v>
      </c>
      <c r="G109" s="2" t="s">
        <v>669</v>
      </c>
      <c r="H109" s="1" t="s">
        <v>68</v>
      </c>
      <c r="I109" s="6"/>
      <c r="J109" s="4"/>
      <c r="L109" s="4">
        <v>3000</v>
      </c>
      <c r="M109" s="1" t="s">
        <v>390</v>
      </c>
      <c r="N109" s="1" t="s">
        <v>86</v>
      </c>
      <c r="O109" s="1" t="s">
        <v>670</v>
      </c>
      <c r="Q109" s="1" t="s">
        <v>671</v>
      </c>
      <c r="R109" s="2">
        <v>55401</v>
      </c>
      <c r="S109" s="44">
        <v>44.982892</v>
      </c>
      <c r="T109" s="45">
        <v>-93.270944</v>
      </c>
      <c r="U109" s="1"/>
      <c r="V109" s="1"/>
      <c r="W109" s="1"/>
      <c r="X109" s="1"/>
      <c r="Y109" s="1"/>
      <c r="Z109" s="1"/>
      <c r="AA109" s="1"/>
      <c r="AB109" s="1"/>
      <c r="AC109" s="2" t="s">
        <v>51</v>
      </c>
      <c r="AD109" s="2">
        <f t="shared" si="1"/>
        <v>2018</v>
      </c>
    </row>
    <row r="110" spans="1:30" hidden="1">
      <c r="A110" s="1" t="s">
        <v>413</v>
      </c>
      <c r="B110" s="3">
        <v>43298</v>
      </c>
      <c r="C110" s="1" t="s">
        <v>672</v>
      </c>
      <c r="D110" s="1" t="s">
        <v>448</v>
      </c>
      <c r="E110" s="1" t="s">
        <v>66</v>
      </c>
      <c r="F110" s="1" t="s">
        <v>34</v>
      </c>
      <c r="G110" s="2" t="s">
        <v>673</v>
      </c>
      <c r="H110" s="1" t="s">
        <v>68</v>
      </c>
      <c r="I110" s="6"/>
      <c r="J110" s="4">
        <v>5</v>
      </c>
      <c r="L110" s="4"/>
      <c r="M110" s="1" t="s">
        <v>167</v>
      </c>
      <c r="N110" s="1" t="s">
        <v>48</v>
      </c>
      <c r="O110" s="1"/>
      <c r="Q110" s="1" t="s">
        <v>674</v>
      </c>
      <c r="R110" s="2">
        <v>55347</v>
      </c>
      <c r="S110" s="44">
        <v>44.843884000000003</v>
      </c>
      <c r="T110" s="45">
        <v>-93.518967000000004</v>
      </c>
      <c r="U110" s="1" t="s">
        <v>143</v>
      </c>
      <c r="V110" s="1"/>
      <c r="W110" s="1"/>
      <c r="X110" s="1"/>
      <c r="Y110" s="1"/>
      <c r="Z110" s="1"/>
      <c r="AA110" s="1"/>
      <c r="AB110" s="1"/>
      <c r="AC110" s="2" t="s">
        <v>51</v>
      </c>
      <c r="AD110" s="2">
        <f t="shared" si="1"/>
        <v>2018</v>
      </c>
    </row>
    <row r="111" spans="1:30" hidden="1">
      <c r="A111" s="1" t="s">
        <v>413</v>
      </c>
      <c r="B111" s="3">
        <v>43300</v>
      </c>
      <c r="C111" s="1" t="s">
        <v>675</v>
      </c>
      <c r="D111" s="1" t="s">
        <v>676</v>
      </c>
      <c r="E111" s="1" t="s">
        <v>677</v>
      </c>
      <c r="F111" s="1" t="s">
        <v>34</v>
      </c>
      <c r="G111" s="2" t="s">
        <v>678</v>
      </c>
      <c r="H111" s="1" t="s">
        <v>101</v>
      </c>
      <c r="I111" s="6"/>
      <c r="J111" s="4">
        <v>25</v>
      </c>
      <c r="L111" s="4">
        <v>5500</v>
      </c>
      <c r="M111" s="2" t="s">
        <v>159</v>
      </c>
      <c r="N111" s="1" t="s">
        <v>86</v>
      </c>
      <c r="O111" s="1" t="s">
        <v>679</v>
      </c>
      <c r="Q111" s="1" t="s">
        <v>680</v>
      </c>
      <c r="R111" s="2">
        <v>55421</v>
      </c>
      <c r="S111" s="44">
        <v>45.054772999999997</v>
      </c>
      <c r="T111" s="45">
        <v>-93.274202000000002</v>
      </c>
      <c r="U111" s="1"/>
      <c r="V111" s="1"/>
      <c r="W111" s="1"/>
      <c r="X111" s="1" t="s">
        <v>116</v>
      </c>
      <c r="Y111" s="1" t="s">
        <v>681</v>
      </c>
      <c r="Z111" s="1" t="s">
        <v>171</v>
      </c>
      <c r="AA111" s="1"/>
      <c r="AB111" s="1" t="s">
        <v>172</v>
      </c>
      <c r="AC111" s="2" t="s">
        <v>51</v>
      </c>
      <c r="AD111" s="2">
        <f t="shared" si="1"/>
        <v>2018</v>
      </c>
    </row>
    <row r="112" spans="1:30" hidden="1">
      <c r="A112" s="1" t="s">
        <v>413</v>
      </c>
      <c r="B112" s="3">
        <v>43301</v>
      </c>
      <c r="C112" s="1" t="s">
        <v>682</v>
      </c>
      <c r="D112" s="1" t="s">
        <v>372</v>
      </c>
      <c r="E112" s="1" t="s">
        <v>373</v>
      </c>
      <c r="F112" s="1" t="s">
        <v>34</v>
      </c>
      <c r="G112" s="2" t="s">
        <v>683</v>
      </c>
      <c r="H112" s="1" t="s">
        <v>48</v>
      </c>
      <c r="I112" s="6">
        <v>1300000</v>
      </c>
      <c r="J112" s="4">
        <v>5</v>
      </c>
      <c r="L112" s="4">
        <v>22000</v>
      </c>
      <c r="M112" s="1" t="s">
        <v>684</v>
      </c>
      <c r="N112" s="1" t="s">
        <v>48</v>
      </c>
      <c r="O112" s="1" t="s">
        <v>685</v>
      </c>
      <c r="Q112" s="1" t="s">
        <v>686</v>
      </c>
      <c r="R112" s="2">
        <v>56001</v>
      </c>
      <c r="S112" s="44">
        <v>44.180118</v>
      </c>
      <c r="T112" s="45">
        <v>-93.992536999999999</v>
      </c>
      <c r="U112" s="1"/>
      <c r="V112" s="1"/>
      <c r="W112" s="1"/>
      <c r="X112" s="1"/>
      <c r="Y112" s="1"/>
      <c r="Z112" s="1"/>
      <c r="AA112" s="1"/>
      <c r="AB112" s="1"/>
      <c r="AC112" s="2" t="s">
        <v>120</v>
      </c>
      <c r="AD112" s="2">
        <f t="shared" si="1"/>
        <v>2018</v>
      </c>
    </row>
    <row r="113" spans="1:30" hidden="1">
      <c r="A113" s="1" t="s">
        <v>413</v>
      </c>
      <c r="B113" s="3">
        <v>43301</v>
      </c>
      <c r="C113" s="2" t="s">
        <v>687</v>
      </c>
      <c r="D113" s="1" t="s">
        <v>688</v>
      </c>
      <c r="E113" s="1" t="s">
        <v>66</v>
      </c>
      <c r="F113" s="1" t="s">
        <v>34</v>
      </c>
      <c r="G113" s="2" t="s">
        <v>689</v>
      </c>
      <c r="H113" s="1" t="s">
        <v>690</v>
      </c>
      <c r="I113" s="6">
        <v>73665000</v>
      </c>
      <c r="J113" s="4">
        <v>84</v>
      </c>
      <c r="L113" s="4">
        <v>436000</v>
      </c>
      <c r="M113" s="1" t="s">
        <v>93</v>
      </c>
      <c r="N113" s="1" t="s">
        <v>48</v>
      </c>
      <c r="O113" s="1" t="s">
        <v>691</v>
      </c>
      <c r="Q113" s="1" t="s">
        <v>692</v>
      </c>
      <c r="R113" s="2">
        <v>55374</v>
      </c>
      <c r="S113" s="44">
        <v>45.190212000000002</v>
      </c>
      <c r="T113" s="45">
        <v>-93.538431000000003</v>
      </c>
      <c r="U113" s="1" t="s">
        <v>60</v>
      </c>
      <c r="V113" s="1"/>
      <c r="W113" s="1"/>
      <c r="X113" s="1"/>
      <c r="Y113" s="1" t="s">
        <v>693</v>
      </c>
      <c r="Z113" s="1" t="s">
        <v>65</v>
      </c>
      <c r="AA113" s="1" t="s">
        <v>34</v>
      </c>
      <c r="AB113" s="1"/>
      <c r="AC113" s="2" t="s">
        <v>51</v>
      </c>
      <c r="AD113" s="2">
        <f t="shared" si="1"/>
        <v>2018</v>
      </c>
    </row>
    <row r="114" spans="1:30" hidden="1">
      <c r="A114" s="1" t="s">
        <v>413</v>
      </c>
      <c r="B114" s="3">
        <v>43304</v>
      </c>
      <c r="C114" s="1" t="s">
        <v>694</v>
      </c>
      <c r="D114" s="1" t="s">
        <v>448</v>
      </c>
      <c r="E114" s="1" t="s">
        <v>66</v>
      </c>
      <c r="F114" s="1" t="s">
        <v>34</v>
      </c>
      <c r="G114" s="2" t="s">
        <v>695</v>
      </c>
      <c r="H114" s="1" t="s">
        <v>68</v>
      </c>
      <c r="I114" s="6">
        <v>1000000</v>
      </c>
      <c r="J114" s="4"/>
      <c r="L114" s="4">
        <v>30000</v>
      </c>
      <c r="M114" s="1" t="s">
        <v>85</v>
      </c>
      <c r="N114" s="1" t="s">
        <v>86</v>
      </c>
      <c r="O114" s="1" t="s">
        <v>696</v>
      </c>
      <c r="Q114" s="1" t="s">
        <v>697</v>
      </c>
      <c r="R114" s="2">
        <v>55344</v>
      </c>
      <c r="S114" s="44">
        <v>44.855870000000003</v>
      </c>
      <c r="T114" s="45">
        <v>-93.428830000000005</v>
      </c>
      <c r="U114" s="1"/>
      <c r="V114" s="1"/>
      <c r="W114" s="1"/>
      <c r="X114" s="1"/>
      <c r="Y114" s="1"/>
      <c r="Z114" s="1"/>
      <c r="AA114" s="1"/>
      <c r="AB114" s="1"/>
      <c r="AC114" s="2" t="s">
        <v>51</v>
      </c>
      <c r="AD114" s="2">
        <f t="shared" si="1"/>
        <v>2018</v>
      </c>
    </row>
    <row r="115" spans="1:30" hidden="1">
      <c r="A115" s="1" t="s">
        <v>413</v>
      </c>
      <c r="B115" s="3">
        <v>43306</v>
      </c>
      <c r="C115" s="1" t="s">
        <v>698</v>
      </c>
      <c r="D115" s="1" t="s">
        <v>65</v>
      </c>
      <c r="E115" s="1" t="s">
        <v>66</v>
      </c>
      <c r="F115" s="1" t="s">
        <v>34</v>
      </c>
      <c r="G115" s="2" t="s">
        <v>699</v>
      </c>
      <c r="H115" s="1" t="s">
        <v>101</v>
      </c>
      <c r="I115" s="6"/>
      <c r="J115" s="4">
        <v>20</v>
      </c>
      <c r="L115" s="4">
        <v>13000</v>
      </c>
      <c r="M115" s="1" t="s">
        <v>85</v>
      </c>
      <c r="N115" s="1" t="s">
        <v>86</v>
      </c>
      <c r="O115" s="1" t="s">
        <v>700</v>
      </c>
      <c r="Q115" s="1" t="s">
        <v>701</v>
      </c>
      <c r="R115" s="2">
        <v>55402</v>
      </c>
      <c r="S115" s="44">
        <v>44.975962000000003</v>
      </c>
      <c r="T115" s="45">
        <v>-93.267332999999994</v>
      </c>
      <c r="U115" s="1"/>
      <c r="V115" s="1"/>
      <c r="W115" s="1"/>
      <c r="X115" s="1"/>
      <c r="Y115" s="1" t="s">
        <v>698</v>
      </c>
      <c r="Z115" s="1" t="s">
        <v>702</v>
      </c>
      <c r="AA115" s="1" t="s">
        <v>703</v>
      </c>
      <c r="AB115" s="1"/>
      <c r="AC115" s="2" t="s">
        <v>51</v>
      </c>
      <c r="AD115" s="2">
        <f t="shared" si="1"/>
        <v>2018</v>
      </c>
    </row>
    <row r="116" spans="1:30" hidden="1">
      <c r="A116" s="1" t="s">
        <v>413</v>
      </c>
      <c r="B116" s="3">
        <v>43306</v>
      </c>
      <c r="C116" s="1" t="s">
        <v>704</v>
      </c>
      <c r="D116" s="1" t="s">
        <v>96</v>
      </c>
      <c r="E116" s="1" t="s">
        <v>99</v>
      </c>
      <c r="F116" s="1" t="s">
        <v>34</v>
      </c>
      <c r="G116" s="2" t="s">
        <v>705</v>
      </c>
      <c r="H116" s="1" t="s">
        <v>554</v>
      </c>
      <c r="I116" s="6"/>
      <c r="J116" s="4">
        <v>160</v>
      </c>
      <c r="L116" s="4"/>
      <c r="M116" s="1" t="s">
        <v>356</v>
      </c>
      <c r="N116" s="1" t="s">
        <v>48</v>
      </c>
      <c r="O116" s="1" t="s">
        <v>706</v>
      </c>
      <c r="Q116" s="1" t="s">
        <v>707</v>
      </c>
      <c r="R116" s="2">
        <v>55108</v>
      </c>
      <c r="S116" s="44">
        <v>44.973880000000001</v>
      </c>
      <c r="T116" s="45">
        <v>-93.173270000000002</v>
      </c>
      <c r="U116" s="1"/>
      <c r="V116" s="1"/>
      <c r="W116" s="1"/>
      <c r="X116" s="1"/>
      <c r="Y116" s="1"/>
      <c r="Z116" s="1"/>
      <c r="AA116" s="1"/>
      <c r="AB116" s="1"/>
      <c r="AC116" s="2" t="s">
        <v>51</v>
      </c>
      <c r="AD116" s="2">
        <f t="shared" si="1"/>
        <v>2018</v>
      </c>
    </row>
    <row r="117" spans="1:30" hidden="1">
      <c r="A117" s="1" t="s">
        <v>413</v>
      </c>
      <c r="B117" s="3">
        <v>43308</v>
      </c>
      <c r="C117" s="1" t="s">
        <v>708</v>
      </c>
      <c r="D117" s="1" t="s">
        <v>53</v>
      </c>
      <c r="E117" s="1" t="s">
        <v>54</v>
      </c>
      <c r="F117" s="1" t="s">
        <v>34</v>
      </c>
      <c r="G117" s="2" t="s">
        <v>709</v>
      </c>
      <c r="H117" s="1" t="s">
        <v>46</v>
      </c>
      <c r="I117" s="6"/>
      <c r="J117" s="4">
        <v>31</v>
      </c>
      <c r="K117" s="2">
        <v>90</v>
      </c>
      <c r="L117" s="4">
        <v>143000</v>
      </c>
      <c r="M117" s="1" t="s">
        <v>574</v>
      </c>
      <c r="N117" s="1" t="s">
        <v>48</v>
      </c>
      <c r="O117" s="1" t="s">
        <v>710</v>
      </c>
      <c r="Q117" s="1" t="s">
        <v>711</v>
      </c>
      <c r="R117" s="2">
        <v>55318</v>
      </c>
      <c r="S117" s="2">
        <v>44.837600700000003</v>
      </c>
      <c r="T117" s="2">
        <v>-93.575500500000004</v>
      </c>
      <c r="U117" s="1" t="s">
        <v>60</v>
      </c>
      <c r="V117" s="1" t="s">
        <v>712</v>
      </c>
      <c r="W117" s="1" t="s">
        <v>713</v>
      </c>
      <c r="X117" s="1"/>
      <c r="Y117" s="1"/>
      <c r="Z117" s="1"/>
      <c r="AA117" s="1"/>
      <c r="AB117" s="1"/>
      <c r="AC117" s="2" t="s">
        <v>51</v>
      </c>
      <c r="AD117" s="2">
        <f t="shared" si="1"/>
        <v>2018</v>
      </c>
    </row>
    <row r="118" spans="1:30" hidden="1">
      <c r="A118" s="1" t="s">
        <v>413</v>
      </c>
      <c r="B118" s="3">
        <v>43311</v>
      </c>
      <c r="C118" s="1" t="s">
        <v>714</v>
      </c>
      <c r="D118" s="1" t="s">
        <v>111</v>
      </c>
      <c r="E118" s="1" t="s">
        <v>112</v>
      </c>
      <c r="F118" s="1" t="s">
        <v>34</v>
      </c>
      <c r="G118" s="2" t="s">
        <v>715</v>
      </c>
      <c r="H118" s="1" t="s">
        <v>101</v>
      </c>
      <c r="I118" s="6"/>
      <c r="J118" s="4"/>
      <c r="L118" s="4"/>
      <c r="M118" s="1" t="s">
        <v>103</v>
      </c>
      <c r="N118" s="1" t="s">
        <v>86</v>
      </c>
      <c r="O118" s="1" t="s">
        <v>716</v>
      </c>
      <c r="Q118" s="1"/>
      <c r="R118" s="2">
        <v>55901</v>
      </c>
      <c r="S118" s="44">
        <v>44.075285000000001</v>
      </c>
      <c r="T118" s="45">
        <v>-92.516915999999995</v>
      </c>
      <c r="U118" s="1"/>
      <c r="V118" s="1"/>
      <c r="W118" s="1"/>
      <c r="X118" s="1" t="s">
        <v>116</v>
      </c>
      <c r="Y118" s="1" t="s">
        <v>717</v>
      </c>
      <c r="Z118" s="1" t="s">
        <v>718</v>
      </c>
      <c r="AA118" s="1"/>
      <c r="AB118" s="1" t="s">
        <v>719</v>
      </c>
      <c r="AC118" s="2" t="s">
        <v>120</v>
      </c>
      <c r="AD118" s="2">
        <f t="shared" si="1"/>
        <v>2018</v>
      </c>
    </row>
    <row r="119" spans="1:30" hidden="1">
      <c r="A119" s="1" t="s">
        <v>413</v>
      </c>
      <c r="B119" s="3">
        <v>43311</v>
      </c>
      <c r="C119" s="1" t="s">
        <v>720</v>
      </c>
      <c r="D119" s="1" t="s">
        <v>528</v>
      </c>
      <c r="E119" s="1" t="s">
        <v>66</v>
      </c>
      <c r="F119" s="1" t="s">
        <v>34</v>
      </c>
      <c r="G119" s="2" t="s">
        <v>721</v>
      </c>
      <c r="H119" s="1" t="s">
        <v>46</v>
      </c>
      <c r="I119" s="6"/>
      <c r="J119" s="4">
        <v>40</v>
      </c>
      <c r="L119" s="4"/>
      <c r="M119" s="1" t="s">
        <v>93</v>
      </c>
      <c r="N119" s="1" t="s">
        <v>48</v>
      </c>
      <c r="O119" s="1" t="s">
        <v>722</v>
      </c>
      <c r="Q119" s="1" t="s">
        <v>723</v>
      </c>
      <c r="R119" s="2">
        <v>55431</v>
      </c>
      <c r="S119" s="44">
        <v>44.833675999999997</v>
      </c>
      <c r="T119" s="45">
        <v>-93.296312999999998</v>
      </c>
      <c r="U119" s="1"/>
      <c r="V119" s="1"/>
      <c r="W119" s="1"/>
      <c r="X119" s="1"/>
      <c r="Y119" s="1"/>
      <c r="Z119" s="1"/>
      <c r="AA119" s="1"/>
      <c r="AB119" s="1"/>
      <c r="AC119" s="2" t="s">
        <v>51</v>
      </c>
      <c r="AD119" s="2">
        <f t="shared" si="1"/>
        <v>2018</v>
      </c>
    </row>
    <row r="120" spans="1:30" hidden="1">
      <c r="A120" s="1" t="s">
        <v>413</v>
      </c>
      <c r="B120" s="3">
        <v>43311</v>
      </c>
      <c r="C120" s="1" t="s">
        <v>724</v>
      </c>
      <c r="D120" s="1" t="s">
        <v>528</v>
      </c>
      <c r="E120" s="1" t="s">
        <v>66</v>
      </c>
      <c r="F120" s="1" t="s">
        <v>34</v>
      </c>
      <c r="G120" s="2" t="s">
        <v>725</v>
      </c>
      <c r="H120" s="1" t="s">
        <v>68</v>
      </c>
      <c r="I120" s="6"/>
      <c r="J120" s="4">
        <v>1</v>
      </c>
      <c r="L120" s="4"/>
      <c r="M120" s="1" t="s">
        <v>154</v>
      </c>
      <c r="N120" s="1" t="s">
        <v>86</v>
      </c>
      <c r="O120" s="1" t="s">
        <v>722</v>
      </c>
      <c r="Q120" s="1" t="s">
        <v>726</v>
      </c>
      <c r="R120" s="2">
        <v>55431</v>
      </c>
      <c r="S120" s="44">
        <v>44.832580999999998</v>
      </c>
      <c r="T120" s="45">
        <v>-93.299891000000002</v>
      </c>
      <c r="U120" s="1" t="s">
        <v>60</v>
      </c>
      <c r="V120" s="1"/>
      <c r="W120" s="1"/>
      <c r="X120" s="1"/>
      <c r="Y120" s="1"/>
      <c r="Z120" s="1"/>
      <c r="AA120" s="1"/>
      <c r="AB120" s="1"/>
      <c r="AC120" s="2" t="s">
        <v>51</v>
      </c>
      <c r="AD120" s="2">
        <f t="shared" si="1"/>
        <v>2018</v>
      </c>
    </row>
    <row r="121" spans="1:30" hidden="1">
      <c r="A121" s="1" t="s">
        <v>413</v>
      </c>
      <c r="B121" s="3">
        <v>43311</v>
      </c>
      <c r="C121" s="1" t="s">
        <v>727</v>
      </c>
      <c r="D121" s="1" t="s">
        <v>728</v>
      </c>
      <c r="E121" s="1" t="s">
        <v>395</v>
      </c>
      <c r="F121" s="1" t="s">
        <v>34</v>
      </c>
      <c r="G121" s="2" t="s">
        <v>729</v>
      </c>
      <c r="H121" s="1" t="s">
        <v>46</v>
      </c>
      <c r="I121" s="6"/>
      <c r="J121" s="4">
        <v>2</v>
      </c>
      <c r="L121" s="4"/>
      <c r="M121" s="1" t="s">
        <v>93</v>
      </c>
      <c r="N121" s="1" t="s">
        <v>48</v>
      </c>
      <c r="O121" s="1" t="s">
        <v>722</v>
      </c>
      <c r="Q121" s="1" t="s">
        <v>730</v>
      </c>
      <c r="R121" s="2">
        <v>55330</v>
      </c>
      <c r="S121" s="44">
        <v>45.315128999999999</v>
      </c>
      <c r="T121" s="45">
        <v>-93.592157</v>
      </c>
      <c r="U121" s="1" t="s">
        <v>60</v>
      </c>
      <c r="V121" s="1"/>
      <c r="W121" s="1"/>
      <c r="X121" s="1"/>
      <c r="Y121" s="1"/>
      <c r="Z121" s="1"/>
      <c r="AA121" s="1"/>
      <c r="AB121" s="1"/>
      <c r="AC121" s="2" t="s">
        <v>41</v>
      </c>
      <c r="AD121" s="2">
        <f t="shared" si="1"/>
        <v>2018</v>
      </c>
    </row>
    <row r="122" spans="1:30" hidden="1">
      <c r="A122" s="1" t="s">
        <v>413</v>
      </c>
      <c r="B122" s="3">
        <v>43311</v>
      </c>
      <c r="C122" s="1" t="s">
        <v>731</v>
      </c>
      <c r="D122" s="1" t="s">
        <v>732</v>
      </c>
      <c r="E122" s="1" t="s">
        <v>44</v>
      </c>
      <c r="F122" s="1" t="s">
        <v>34</v>
      </c>
      <c r="G122" s="2" t="s">
        <v>733</v>
      </c>
      <c r="H122" s="1" t="s">
        <v>188</v>
      </c>
      <c r="I122" s="6"/>
      <c r="J122" s="4">
        <v>20</v>
      </c>
      <c r="L122" s="4"/>
      <c r="M122" s="1" t="s">
        <v>450</v>
      </c>
      <c r="N122" s="1" t="s">
        <v>48</v>
      </c>
      <c r="O122" s="1" t="s">
        <v>722</v>
      </c>
      <c r="Q122" s="1" t="s">
        <v>734</v>
      </c>
      <c r="R122" s="2">
        <v>55115</v>
      </c>
      <c r="S122" s="44">
        <v>45.037368000000001</v>
      </c>
      <c r="T122" s="45">
        <v>-92.972669999999994</v>
      </c>
      <c r="U122" s="1" t="s">
        <v>60</v>
      </c>
      <c r="V122" s="1"/>
      <c r="W122" s="1"/>
      <c r="X122" s="1"/>
      <c r="Y122" s="1"/>
      <c r="Z122" s="1"/>
      <c r="AA122" s="1"/>
      <c r="AB122" s="1"/>
      <c r="AC122" s="2" t="s">
        <v>51</v>
      </c>
      <c r="AD122" s="2">
        <f t="shared" si="1"/>
        <v>2018</v>
      </c>
    </row>
    <row r="123" spans="1:30" hidden="1">
      <c r="A123" s="1" t="s">
        <v>413</v>
      </c>
      <c r="B123" s="3">
        <v>43319</v>
      </c>
      <c r="C123" s="1" t="s">
        <v>735</v>
      </c>
      <c r="D123" s="1" t="s">
        <v>65</v>
      </c>
      <c r="E123" s="1" t="s">
        <v>66</v>
      </c>
      <c r="F123" s="1" t="s">
        <v>34</v>
      </c>
      <c r="G123" s="2" t="s">
        <v>736</v>
      </c>
      <c r="H123" s="1" t="s">
        <v>68</v>
      </c>
      <c r="I123" s="6"/>
      <c r="J123" s="4"/>
      <c r="L123" s="4">
        <v>30000</v>
      </c>
      <c r="M123" s="1" t="s">
        <v>737</v>
      </c>
      <c r="N123" s="1" t="s">
        <v>300</v>
      </c>
      <c r="O123" s="1" t="s">
        <v>738</v>
      </c>
      <c r="Q123" s="1" t="s">
        <v>739</v>
      </c>
      <c r="R123" s="2">
        <v>55401</v>
      </c>
      <c r="S123" s="2">
        <v>44.986301400000002</v>
      </c>
      <c r="T123" s="2">
        <v>-93.277900700000004</v>
      </c>
      <c r="U123" s="1"/>
      <c r="V123" s="1"/>
      <c r="W123" s="1"/>
      <c r="X123" s="1"/>
      <c r="Y123" s="1"/>
      <c r="Z123" s="1"/>
      <c r="AA123" s="1"/>
      <c r="AB123" s="1"/>
      <c r="AC123" s="2" t="s">
        <v>51</v>
      </c>
      <c r="AD123" s="2">
        <f t="shared" si="1"/>
        <v>2018</v>
      </c>
    </row>
    <row r="124" spans="1:30" hidden="1">
      <c r="A124" s="1" t="s">
        <v>413</v>
      </c>
      <c r="B124" s="3">
        <v>43319</v>
      </c>
      <c r="C124" s="1" t="s">
        <v>740</v>
      </c>
      <c r="D124" s="1" t="s">
        <v>65</v>
      </c>
      <c r="E124" s="1" t="s">
        <v>66</v>
      </c>
      <c r="F124" s="1" t="s">
        <v>34</v>
      </c>
      <c r="G124" s="2" t="s">
        <v>741</v>
      </c>
      <c r="H124" s="1" t="s">
        <v>68</v>
      </c>
      <c r="I124" s="6"/>
      <c r="J124" s="4">
        <v>50</v>
      </c>
      <c r="L124" s="4"/>
      <c r="M124" s="1" t="s">
        <v>356</v>
      </c>
      <c r="N124" s="1" t="s">
        <v>48</v>
      </c>
      <c r="O124" s="1" t="s">
        <v>742</v>
      </c>
      <c r="Q124" s="1" t="s">
        <v>743</v>
      </c>
      <c r="R124" s="2">
        <v>55402</v>
      </c>
      <c r="S124" s="44">
        <v>44.973604999999999</v>
      </c>
      <c r="T124" s="45">
        <v>-93.271187999999995</v>
      </c>
      <c r="U124" s="1"/>
      <c r="V124" s="1"/>
      <c r="W124" s="1"/>
      <c r="X124" s="1"/>
      <c r="Y124" s="1"/>
      <c r="Z124" s="1"/>
      <c r="AA124" s="1"/>
      <c r="AB124" s="1"/>
      <c r="AC124" s="2" t="s">
        <v>51</v>
      </c>
      <c r="AD124" s="2">
        <f t="shared" si="1"/>
        <v>2018</v>
      </c>
    </row>
    <row r="125" spans="1:30" hidden="1">
      <c r="A125" s="1" t="s">
        <v>413</v>
      </c>
      <c r="B125" s="3">
        <v>43320</v>
      </c>
      <c r="C125" s="1" t="s">
        <v>744</v>
      </c>
      <c r="D125" s="1" t="s">
        <v>65</v>
      </c>
      <c r="E125" s="1" t="s">
        <v>66</v>
      </c>
      <c r="F125" s="1" t="s">
        <v>34</v>
      </c>
      <c r="G125" s="2" t="s">
        <v>745</v>
      </c>
      <c r="H125" s="1" t="s">
        <v>68</v>
      </c>
      <c r="I125" s="6"/>
      <c r="J125" s="4">
        <v>30</v>
      </c>
      <c r="L125" s="4"/>
      <c r="M125" s="1" t="s">
        <v>85</v>
      </c>
      <c r="N125" s="1" t="s">
        <v>86</v>
      </c>
      <c r="O125" s="1"/>
      <c r="Q125" s="1" t="s">
        <v>746</v>
      </c>
      <c r="R125" s="2">
        <v>55401</v>
      </c>
      <c r="S125" s="44">
        <v>44.982649000000002</v>
      </c>
      <c r="T125" s="45">
        <v>-93.271232999999995</v>
      </c>
      <c r="U125" s="1"/>
      <c r="V125" s="1"/>
      <c r="W125" s="1"/>
      <c r="X125" s="1"/>
      <c r="Y125" s="1"/>
      <c r="Z125" s="1"/>
      <c r="AA125" s="1"/>
      <c r="AB125" s="1"/>
      <c r="AC125" s="2" t="s">
        <v>51</v>
      </c>
      <c r="AD125" s="2">
        <f t="shared" si="1"/>
        <v>2018</v>
      </c>
    </row>
    <row r="126" spans="1:30" hidden="1">
      <c r="A126" s="1" t="s">
        <v>413</v>
      </c>
      <c r="B126" s="3">
        <v>43322</v>
      </c>
      <c r="C126" s="1" t="s">
        <v>747</v>
      </c>
      <c r="D126" s="1" t="s">
        <v>528</v>
      </c>
      <c r="E126" s="1" t="s">
        <v>66</v>
      </c>
      <c r="F126" s="1" t="s">
        <v>34</v>
      </c>
      <c r="G126" s="2" t="s">
        <v>748</v>
      </c>
      <c r="H126" s="1" t="s">
        <v>188</v>
      </c>
      <c r="I126" s="6">
        <v>10000000</v>
      </c>
      <c r="J126" s="4"/>
      <c r="L126" s="4">
        <v>39000</v>
      </c>
      <c r="M126" s="1"/>
      <c r="N126" s="2" t="s">
        <v>610</v>
      </c>
      <c r="O126" s="1" t="s">
        <v>749</v>
      </c>
      <c r="Q126" s="1" t="s">
        <v>750</v>
      </c>
      <c r="R126" s="2">
        <v>55425</v>
      </c>
      <c r="S126" s="44">
        <v>44.851522000000003</v>
      </c>
      <c r="T126" s="45">
        <v>-93.237352000000001</v>
      </c>
      <c r="U126" s="1"/>
      <c r="V126" s="1"/>
      <c r="W126" s="1"/>
      <c r="X126" s="1"/>
      <c r="Y126" s="1" t="s">
        <v>747</v>
      </c>
      <c r="Z126" s="1" t="s">
        <v>165</v>
      </c>
      <c r="AA126" s="1" t="s">
        <v>34</v>
      </c>
      <c r="AB126" s="1"/>
      <c r="AC126" s="2" t="s">
        <v>51</v>
      </c>
      <c r="AD126" s="2">
        <f t="shared" si="1"/>
        <v>2018</v>
      </c>
    </row>
    <row r="127" spans="1:30" hidden="1">
      <c r="A127" s="2" t="s">
        <v>413</v>
      </c>
      <c r="B127" s="3">
        <v>43324</v>
      </c>
      <c r="C127" s="1" t="s">
        <v>751</v>
      </c>
      <c r="D127" s="1" t="s">
        <v>174</v>
      </c>
      <c r="E127" s="1" t="s">
        <v>66</v>
      </c>
      <c r="F127" s="1" t="s">
        <v>34</v>
      </c>
      <c r="G127" s="2" t="s">
        <v>752</v>
      </c>
      <c r="H127" s="1" t="s">
        <v>342</v>
      </c>
      <c r="I127" s="6"/>
      <c r="J127" s="4">
        <v>30</v>
      </c>
      <c r="L127" s="4"/>
      <c r="M127" s="1" t="s">
        <v>684</v>
      </c>
      <c r="N127" s="1" t="s">
        <v>48</v>
      </c>
      <c r="O127" s="1" t="s">
        <v>753</v>
      </c>
      <c r="Q127" s="1" t="s">
        <v>754</v>
      </c>
      <c r="R127" s="2">
        <v>55445</v>
      </c>
      <c r="S127" s="2">
        <v>45.111296400000001</v>
      </c>
      <c r="T127" s="2">
        <v>-93.350535899999997</v>
      </c>
      <c r="U127" s="1"/>
      <c r="V127" s="1"/>
      <c r="W127" s="1"/>
      <c r="X127" s="1" t="s">
        <v>116</v>
      </c>
      <c r="Y127" s="1" t="s">
        <v>755</v>
      </c>
      <c r="Z127" s="1" t="s">
        <v>756</v>
      </c>
      <c r="AA127" s="1"/>
      <c r="AB127" s="1" t="s">
        <v>757</v>
      </c>
      <c r="AC127" s="2" t="s">
        <v>51</v>
      </c>
      <c r="AD127" s="2">
        <f t="shared" si="1"/>
        <v>2018</v>
      </c>
    </row>
    <row r="128" spans="1:30" hidden="1">
      <c r="A128" s="1" t="s">
        <v>413</v>
      </c>
      <c r="B128" s="3">
        <v>43325</v>
      </c>
      <c r="C128" s="1" t="s">
        <v>758</v>
      </c>
      <c r="D128" s="1" t="s">
        <v>759</v>
      </c>
      <c r="E128" s="1" t="s">
        <v>760</v>
      </c>
      <c r="F128" s="1" t="s">
        <v>34</v>
      </c>
      <c r="G128" s="2" t="s">
        <v>761</v>
      </c>
      <c r="H128" s="1" t="s">
        <v>188</v>
      </c>
      <c r="I128" s="6">
        <v>50000000</v>
      </c>
      <c r="J128" s="4"/>
      <c r="L128" s="4"/>
      <c r="M128" s="1"/>
      <c r="N128" s="1" t="s">
        <v>762</v>
      </c>
      <c r="O128" s="1" t="s">
        <v>763</v>
      </c>
      <c r="Q128" s="1" t="s">
        <v>764</v>
      </c>
      <c r="R128" s="2">
        <v>56267</v>
      </c>
      <c r="S128" s="44">
        <v>45.619987999999999</v>
      </c>
      <c r="T128" s="45">
        <v>-95.902520999999993</v>
      </c>
      <c r="U128" s="1"/>
      <c r="V128" s="1"/>
      <c r="W128" s="1"/>
      <c r="X128" s="1"/>
      <c r="Y128" s="1"/>
      <c r="Z128" s="1"/>
      <c r="AA128" s="1"/>
      <c r="AB128" s="1"/>
      <c r="AC128" s="2" t="s">
        <v>41</v>
      </c>
      <c r="AD128" s="2">
        <f t="shared" si="1"/>
        <v>2018</v>
      </c>
    </row>
    <row r="129" spans="1:30" hidden="1">
      <c r="A129" s="1" t="s">
        <v>413</v>
      </c>
      <c r="B129" s="3">
        <v>43326</v>
      </c>
      <c r="C129" s="1" t="s">
        <v>765</v>
      </c>
      <c r="D129" s="1" t="s">
        <v>65</v>
      </c>
      <c r="E129" s="1" t="s">
        <v>66</v>
      </c>
      <c r="F129" s="1" t="s">
        <v>34</v>
      </c>
      <c r="G129" s="2" t="s">
        <v>766</v>
      </c>
      <c r="H129" s="1" t="s">
        <v>68</v>
      </c>
      <c r="I129" s="6"/>
      <c r="J129" s="4">
        <v>38</v>
      </c>
      <c r="L129" s="4"/>
      <c r="M129" s="1" t="s">
        <v>85</v>
      </c>
      <c r="N129" s="1" t="s">
        <v>86</v>
      </c>
      <c r="O129" s="1" t="s">
        <v>767</v>
      </c>
      <c r="Q129" s="1" t="s">
        <v>768</v>
      </c>
      <c r="R129" s="2">
        <v>55419</v>
      </c>
      <c r="S129" s="44">
        <v>44.920085999999998</v>
      </c>
      <c r="T129" s="45">
        <v>-93.292501000000001</v>
      </c>
      <c r="U129" s="1" t="s">
        <v>143</v>
      </c>
      <c r="V129" s="1"/>
      <c r="W129" s="1"/>
      <c r="X129" s="1"/>
      <c r="Y129" s="1"/>
      <c r="Z129" s="1"/>
      <c r="AA129" s="1"/>
      <c r="AB129" s="1"/>
      <c r="AC129" s="2" t="s">
        <v>51</v>
      </c>
      <c r="AD129" s="2">
        <f t="shared" si="1"/>
        <v>2018</v>
      </c>
    </row>
    <row r="130" spans="1:30" hidden="1">
      <c r="A130" s="1" t="s">
        <v>413</v>
      </c>
      <c r="B130" s="3">
        <v>43326</v>
      </c>
      <c r="C130" s="1" t="s">
        <v>769</v>
      </c>
      <c r="D130" s="1" t="s">
        <v>65</v>
      </c>
      <c r="E130" s="1" t="s">
        <v>66</v>
      </c>
      <c r="F130" s="1" t="s">
        <v>34</v>
      </c>
      <c r="G130" s="2" t="s">
        <v>770</v>
      </c>
      <c r="H130" s="1" t="s">
        <v>101</v>
      </c>
      <c r="I130" s="6"/>
      <c r="J130" s="4"/>
      <c r="L130" s="4">
        <v>56000</v>
      </c>
      <c r="M130" s="1"/>
      <c r="N130" s="2" t="s">
        <v>69</v>
      </c>
      <c r="O130" s="1" t="s">
        <v>771</v>
      </c>
      <c r="Q130" s="1" t="s">
        <v>772</v>
      </c>
      <c r="R130" s="2">
        <v>55408</v>
      </c>
      <c r="S130" s="44">
        <v>44.949469000000001</v>
      </c>
      <c r="T130" s="45">
        <v>-93.296087999999997</v>
      </c>
      <c r="U130" s="1"/>
      <c r="V130" s="1"/>
      <c r="W130" s="1"/>
      <c r="X130" s="1"/>
      <c r="Y130" s="1" t="s">
        <v>769</v>
      </c>
      <c r="Z130" s="1" t="s">
        <v>773</v>
      </c>
      <c r="AA130" s="1" t="s">
        <v>774</v>
      </c>
      <c r="AB130" s="1"/>
      <c r="AC130" s="2" t="s">
        <v>51</v>
      </c>
      <c r="AD130" s="2">
        <f t="shared" ref="AD130:AD193" si="2">YEAR(B130)</f>
        <v>2018</v>
      </c>
    </row>
    <row r="131" spans="1:30" hidden="1">
      <c r="A131" s="1" t="s">
        <v>413</v>
      </c>
      <c r="B131" s="3">
        <v>43328</v>
      </c>
      <c r="C131" s="1" t="s">
        <v>775</v>
      </c>
      <c r="D131" s="1" t="s">
        <v>776</v>
      </c>
      <c r="E131" s="1" t="s">
        <v>66</v>
      </c>
      <c r="F131" s="1" t="s">
        <v>34</v>
      </c>
      <c r="G131" s="2" t="s">
        <v>777</v>
      </c>
      <c r="H131" s="1" t="s">
        <v>188</v>
      </c>
      <c r="I131" s="6"/>
      <c r="J131" s="4">
        <v>5</v>
      </c>
      <c r="L131" s="4"/>
      <c r="M131" s="1"/>
      <c r="N131" s="1" t="s">
        <v>140</v>
      </c>
      <c r="O131" s="1" t="s">
        <v>778</v>
      </c>
      <c r="Q131" s="1" t="s">
        <v>779</v>
      </c>
      <c r="R131" s="2">
        <v>55439</v>
      </c>
      <c r="S131" s="44">
        <v>44.870596999999997</v>
      </c>
      <c r="T131" s="45">
        <v>-93.354950000000002</v>
      </c>
      <c r="U131" s="1"/>
      <c r="V131" s="1"/>
      <c r="W131" s="1"/>
      <c r="X131" s="1"/>
      <c r="Y131" s="1"/>
      <c r="Z131" s="1"/>
      <c r="AA131" s="1"/>
      <c r="AB131" s="1"/>
      <c r="AC131" s="2" t="s">
        <v>51</v>
      </c>
      <c r="AD131" s="2">
        <f t="shared" si="2"/>
        <v>2018</v>
      </c>
    </row>
    <row r="132" spans="1:30" hidden="1">
      <c r="A132" s="1" t="s">
        <v>413</v>
      </c>
      <c r="B132" s="3">
        <v>43328</v>
      </c>
      <c r="C132" s="1" t="s">
        <v>780</v>
      </c>
      <c r="D132" s="1" t="s">
        <v>65</v>
      </c>
      <c r="E132" s="1" t="s">
        <v>66</v>
      </c>
      <c r="F132" s="1" t="s">
        <v>34</v>
      </c>
      <c r="G132" s="2" t="s">
        <v>781</v>
      </c>
      <c r="H132" s="1" t="s">
        <v>68</v>
      </c>
      <c r="I132" s="6"/>
      <c r="J132" s="4">
        <v>20</v>
      </c>
      <c r="L132" s="4"/>
      <c r="M132" s="1" t="s">
        <v>85</v>
      </c>
      <c r="N132" s="1" t="s">
        <v>86</v>
      </c>
      <c r="O132" s="1" t="s">
        <v>782</v>
      </c>
      <c r="Q132" s="1" t="s">
        <v>783</v>
      </c>
      <c r="R132" s="2">
        <v>55401</v>
      </c>
      <c r="S132" s="44">
        <v>44.983595999999999</v>
      </c>
      <c r="T132" s="45">
        <v>-93.277499000000006</v>
      </c>
      <c r="U132" s="1"/>
      <c r="V132" s="1"/>
      <c r="W132" s="1"/>
      <c r="X132" s="1"/>
      <c r="Y132" s="1"/>
      <c r="Z132" s="1"/>
      <c r="AA132" s="1"/>
      <c r="AB132" s="1"/>
      <c r="AC132" s="2" t="s">
        <v>51</v>
      </c>
      <c r="AD132" s="2">
        <f t="shared" si="2"/>
        <v>2018</v>
      </c>
    </row>
    <row r="133" spans="1:30" hidden="1">
      <c r="A133" s="1" t="s">
        <v>413</v>
      </c>
      <c r="B133" s="3">
        <v>43328</v>
      </c>
      <c r="C133" s="1" t="s">
        <v>784</v>
      </c>
      <c r="D133" s="1" t="s">
        <v>776</v>
      </c>
      <c r="E133" s="1" t="s">
        <v>66</v>
      </c>
      <c r="F133" s="1" t="s">
        <v>34</v>
      </c>
      <c r="G133" s="2" t="s">
        <v>785</v>
      </c>
      <c r="H133" s="1" t="s">
        <v>68</v>
      </c>
      <c r="I133" s="6"/>
      <c r="J133" s="4">
        <v>20</v>
      </c>
      <c r="L133" s="4"/>
      <c r="M133" s="2" t="s">
        <v>159</v>
      </c>
      <c r="N133" s="1" t="s">
        <v>86</v>
      </c>
      <c r="O133" s="1" t="s">
        <v>786</v>
      </c>
      <c r="Q133" s="1" t="s">
        <v>787</v>
      </c>
      <c r="R133" s="2">
        <v>55435</v>
      </c>
      <c r="S133" s="44">
        <v>44.882075999999998</v>
      </c>
      <c r="T133" s="45">
        <v>-93.330126000000007</v>
      </c>
      <c r="U133" s="1"/>
      <c r="V133" s="1"/>
      <c r="W133" s="1"/>
      <c r="X133" s="1"/>
      <c r="Y133" s="1"/>
      <c r="Z133" s="1"/>
      <c r="AA133" s="1"/>
      <c r="AB133" s="1"/>
      <c r="AC133" s="2" t="s">
        <v>51</v>
      </c>
      <c r="AD133" s="2">
        <f t="shared" si="2"/>
        <v>2018</v>
      </c>
    </row>
    <row r="134" spans="1:30" hidden="1">
      <c r="A134" s="1" t="s">
        <v>413</v>
      </c>
      <c r="B134" s="3">
        <v>43328</v>
      </c>
      <c r="C134" s="1" t="s">
        <v>788</v>
      </c>
      <c r="D134" s="1" t="s">
        <v>789</v>
      </c>
      <c r="E134" s="1" t="s">
        <v>99</v>
      </c>
      <c r="F134" s="1" t="s">
        <v>34</v>
      </c>
      <c r="G134" s="2" t="s">
        <v>790</v>
      </c>
      <c r="H134" s="1" t="s">
        <v>68</v>
      </c>
      <c r="I134" s="6"/>
      <c r="J134" s="4">
        <v>50</v>
      </c>
      <c r="L134" s="4"/>
      <c r="M134" s="1" t="s">
        <v>102</v>
      </c>
      <c r="N134" s="1" t="s">
        <v>103</v>
      </c>
      <c r="O134" s="1" t="s">
        <v>791</v>
      </c>
      <c r="Q134" s="1" t="s">
        <v>792</v>
      </c>
      <c r="R134" s="2">
        <v>55117</v>
      </c>
      <c r="S134" s="44">
        <v>45.042386</v>
      </c>
      <c r="T134" s="45">
        <v>-93.104481000000007</v>
      </c>
      <c r="U134" s="1"/>
      <c r="V134" s="1"/>
      <c r="W134" s="1"/>
      <c r="X134" s="1"/>
      <c r="Y134" s="1"/>
      <c r="Z134" s="1"/>
      <c r="AA134" s="1"/>
      <c r="AB134" s="1"/>
      <c r="AC134" s="2" t="s">
        <v>51</v>
      </c>
      <c r="AD134" s="2">
        <f t="shared" si="2"/>
        <v>2018</v>
      </c>
    </row>
    <row r="135" spans="1:30" hidden="1">
      <c r="A135" s="1" t="s">
        <v>413</v>
      </c>
      <c r="B135" s="3">
        <v>43328</v>
      </c>
      <c r="C135" s="1" t="s">
        <v>793</v>
      </c>
      <c r="D135" s="1" t="s">
        <v>794</v>
      </c>
      <c r="E135" s="1" t="s">
        <v>66</v>
      </c>
      <c r="F135" s="1" t="s">
        <v>34</v>
      </c>
      <c r="G135" s="2" t="s">
        <v>795</v>
      </c>
      <c r="H135" s="1" t="s">
        <v>188</v>
      </c>
      <c r="I135" s="6"/>
      <c r="J135" s="4">
        <v>5</v>
      </c>
      <c r="L135" s="4"/>
      <c r="M135" s="1" t="s">
        <v>796</v>
      </c>
      <c r="N135" s="1" t="s">
        <v>103</v>
      </c>
      <c r="O135" s="1" t="s">
        <v>797</v>
      </c>
      <c r="Q135" s="1" t="s">
        <v>798</v>
      </c>
      <c r="R135" s="2">
        <v>55423</v>
      </c>
      <c r="S135" s="44">
        <v>44.882404000000001</v>
      </c>
      <c r="T135" s="45">
        <v>-93.286736000000005</v>
      </c>
      <c r="U135" s="1"/>
      <c r="V135" s="1"/>
      <c r="W135" s="1"/>
      <c r="X135" s="1"/>
      <c r="Y135" s="1"/>
      <c r="Z135" s="1"/>
      <c r="AA135" s="1"/>
      <c r="AB135" s="1"/>
      <c r="AC135" s="2" t="s">
        <v>51</v>
      </c>
      <c r="AD135" s="2">
        <f t="shared" si="2"/>
        <v>2018</v>
      </c>
    </row>
    <row r="136" spans="1:30" hidden="1">
      <c r="A136" s="1" t="s">
        <v>413</v>
      </c>
      <c r="B136" s="3">
        <v>43328</v>
      </c>
      <c r="C136" s="1" t="s">
        <v>799</v>
      </c>
      <c r="D136" s="1" t="s">
        <v>800</v>
      </c>
      <c r="E136" s="1" t="s">
        <v>44</v>
      </c>
      <c r="F136" s="1" t="s">
        <v>34</v>
      </c>
      <c r="G136" s="2" t="s">
        <v>801</v>
      </c>
      <c r="H136" s="1" t="s">
        <v>68</v>
      </c>
      <c r="I136" s="6"/>
      <c r="J136" s="4">
        <v>20</v>
      </c>
      <c r="L136" s="4"/>
      <c r="M136" s="1"/>
      <c r="N136" s="1" t="s">
        <v>384</v>
      </c>
      <c r="O136" s="1" t="s">
        <v>802</v>
      </c>
      <c r="Q136" s="1" t="s">
        <v>803</v>
      </c>
      <c r="R136" s="2">
        <v>55125</v>
      </c>
      <c r="S136" s="44">
        <v>44.944938</v>
      </c>
      <c r="T136" s="45">
        <v>-92.915064999999998</v>
      </c>
      <c r="U136" s="1"/>
      <c r="V136" s="1"/>
      <c r="W136" s="1"/>
      <c r="X136" s="1"/>
      <c r="Y136" s="1"/>
      <c r="Z136" s="1"/>
      <c r="AA136" s="1"/>
      <c r="AB136" s="1"/>
      <c r="AC136" s="2" t="s">
        <v>51</v>
      </c>
      <c r="AD136" s="2">
        <f t="shared" si="2"/>
        <v>2018</v>
      </c>
    </row>
    <row r="137" spans="1:30" hidden="1">
      <c r="A137" s="1" t="s">
        <v>413</v>
      </c>
      <c r="B137" s="3">
        <v>43328</v>
      </c>
      <c r="C137" s="1" t="s">
        <v>804</v>
      </c>
      <c r="D137" s="1" t="s">
        <v>96</v>
      </c>
      <c r="E137" s="1" t="s">
        <v>99</v>
      </c>
      <c r="F137" s="1" t="s">
        <v>34</v>
      </c>
      <c r="G137" s="2" t="s">
        <v>805</v>
      </c>
      <c r="H137" s="1" t="s">
        <v>272</v>
      </c>
      <c r="I137" s="6"/>
      <c r="J137" s="4">
        <v>4</v>
      </c>
      <c r="L137" s="4"/>
      <c r="M137" s="1" t="s">
        <v>167</v>
      </c>
      <c r="N137" s="1" t="s">
        <v>48</v>
      </c>
      <c r="O137" s="1" t="s">
        <v>806</v>
      </c>
      <c r="Q137" s="1" t="s">
        <v>807</v>
      </c>
      <c r="R137" s="2">
        <v>55108</v>
      </c>
      <c r="S137" s="44">
        <v>44.972039000000002</v>
      </c>
      <c r="T137" s="45">
        <v>-93.152743999999998</v>
      </c>
      <c r="U137" s="1"/>
      <c r="V137" s="1"/>
      <c r="W137" s="1"/>
      <c r="X137" s="1"/>
      <c r="Y137" s="1"/>
      <c r="Z137" s="1"/>
      <c r="AA137" s="1"/>
      <c r="AB137" s="1"/>
      <c r="AC137" s="2" t="s">
        <v>51</v>
      </c>
      <c r="AD137" s="2">
        <f t="shared" si="2"/>
        <v>2018</v>
      </c>
    </row>
    <row r="138" spans="1:30" hidden="1">
      <c r="A138" s="1" t="s">
        <v>413</v>
      </c>
      <c r="B138" s="3">
        <v>43328</v>
      </c>
      <c r="C138" s="1" t="s">
        <v>808</v>
      </c>
      <c r="D138" s="1" t="s">
        <v>544</v>
      </c>
      <c r="E138" s="1" t="s">
        <v>66</v>
      </c>
      <c r="F138" s="1" t="s">
        <v>34</v>
      </c>
      <c r="G138" s="2" t="s">
        <v>809</v>
      </c>
      <c r="H138" s="1" t="s">
        <v>68</v>
      </c>
      <c r="I138" s="6"/>
      <c r="J138" s="4">
        <v>50</v>
      </c>
      <c r="L138" s="4"/>
      <c r="M138" s="1"/>
      <c r="N138" s="2" t="s">
        <v>69</v>
      </c>
      <c r="O138" s="1" t="s">
        <v>810</v>
      </c>
      <c r="Q138" s="1" t="s">
        <v>811</v>
      </c>
      <c r="R138" s="2">
        <v>55416</v>
      </c>
      <c r="S138" s="44">
        <v>44.964499000000004</v>
      </c>
      <c r="T138" s="45">
        <v>-93.345326</v>
      </c>
      <c r="U138" s="1"/>
      <c r="V138" s="1"/>
      <c r="W138" s="1"/>
      <c r="X138" s="1"/>
      <c r="Y138" s="1"/>
      <c r="Z138" s="1"/>
      <c r="AA138" s="1"/>
      <c r="AB138" s="1"/>
      <c r="AC138" s="2" t="s">
        <v>51</v>
      </c>
      <c r="AD138" s="2">
        <f t="shared" si="2"/>
        <v>2018</v>
      </c>
    </row>
    <row r="139" spans="1:30" hidden="1">
      <c r="A139" s="1" t="s">
        <v>413</v>
      </c>
      <c r="B139" s="3">
        <v>43328</v>
      </c>
      <c r="C139" s="1" t="s">
        <v>812</v>
      </c>
      <c r="D139" s="1" t="s">
        <v>65</v>
      </c>
      <c r="E139" s="1" t="s">
        <v>66</v>
      </c>
      <c r="F139" s="1" t="s">
        <v>34</v>
      </c>
      <c r="G139" s="2" t="s">
        <v>813</v>
      </c>
      <c r="H139" s="1" t="s">
        <v>68</v>
      </c>
      <c r="I139" s="6"/>
      <c r="J139" s="4"/>
      <c r="L139" s="4"/>
      <c r="M139" s="1" t="s">
        <v>299</v>
      </c>
      <c r="N139" s="1" t="s">
        <v>300</v>
      </c>
      <c r="O139" s="1" t="s">
        <v>814</v>
      </c>
      <c r="Q139" s="1" t="s">
        <v>815</v>
      </c>
      <c r="R139" s="2">
        <v>55401</v>
      </c>
      <c r="S139" s="44">
        <v>44.985892999999997</v>
      </c>
      <c r="T139" s="45">
        <v>-93.269371000000007</v>
      </c>
      <c r="U139" s="1"/>
      <c r="V139" s="1"/>
      <c r="W139" s="1"/>
      <c r="X139" s="1"/>
      <c r="Y139" s="1"/>
      <c r="Z139" s="1"/>
      <c r="AA139" s="1"/>
      <c r="AB139" s="1"/>
      <c r="AC139" s="2" t="s">
        <v>51</v>
      </c>
      <c r="AD139" s="2">
        <f t="shared" si="2"/>
        <v>2018</v>
      </c>
    </row>
    <row r="140" spans="1:30" hidden="1">
      <c r="A140" s="1" t="s">
        <v>413</v>
      </c>
      <c r="B140" s="3">
        <v>43328</v>
      </c>
      <c r="C140" s="1" t="s">
        <v>816</v>
      </c>
      <c r="D140" s="1" t="s">
        <v>90</v>
      </c>
      <c r="E140" s="1" t="s">
        <v>91</v>
      </c>
      <c r="F140" s="1" t="s">
        <v>34</v>
      </c>
      <c r="G140" s="2" t="s">
        <v>817</v>
      </c>
      <c r="H140" s="1" t="s">
        <v>68</v>
      </c>
      <c r="I140" s="6"/>
      <c r="J140" s="4">
        <v>15</v>
      </c>
      <c r="L140" s="4"/>
      <c r="M140" s="1"/>
      <c r="N140" s="1" t="s">
        <v>384</v>
      </c>
      <c r="O140" s="1" t="s">
        <v>818</v>
      </c>
      <c r="P140" s="1"/>
      <c r="Q140" s="1" t="s">
        <v>819</v>
      </c>
      <c r="R140" s="2">
        <v>55802</v>
      </c>
      <c r="S140" s="44">
        <v>46.78736</v>
      </c>
      <c r="T140" s="45">
        <v>-92.099345999999997</v>
      </c>
      <c r="U140" s="1"/>
      <c r="V140" s="1"/>
      <c r="W140" s="1"/>
      <c r="X140" s="1"/>
      <c r="Y140" s="1"/>
      <c r="Z140" s="1"/>
      <c r="AA140" s="1"/>
      <c r="AB140" s="1"/>
      <c r="AC140" s="1" t="s">
        <v>97</v>
      </c>
      <c r="AD140" s="2">
        <f t="shared" si="2"/>
        <v>2018</v>
      </c>
    </row>
    <row r="141" spans="1:30" hidden="1">
      <c r="A141" s="1" t="s">
        <v>413</v>
      </c>
      <c r="B141" s="3">
        <v>43328</v>
      </c>
      <c r="C141" s="1" t="s">
        <v>820</v>
      </c>
      <c r="D141" s="1" t="s">
        <v>96</v>
      </c>
      <c r="E141" s="1" t="s">
        <v>99</v>
      </c>
      <c r="F141" s="1" t="s">
        <v>34</v>
      </c>
      <c r="G141" s="2" t="s">
        <v>821</v>
      </c>
      <c r="H141" s="1" t="s">
        <v>621</v>
      </c>
      <c r="I141" s="6"/>
      <c r="J141" s="4">
        <v>200</v>
      </c>
      <c r="L141" s="4"/>
      <c r="M141" s="1"/>
      <c r="N141" s="1" t="s">
        <v>37</v>
      </c>
      <c r="O141" s="1" t="s">
        <v>822</v>
      </c>
      <c r="Q141" s="1" t="s">
        <v>823</v>
      </c>
      <c r="R141" s="2">
        <v>55101</v>
      </c>
      <c r="S141" s="44">
        <v>44.956352000000003</v>
      </c>
      <c r="T141" s="45">
        <v>-93.095727999999994</v>
      </c>
      <c r="U141" s="1"/>
      <c r="V141" s="1"/>
      <c r="W141" s="1"/>
      <c r="X141" s="1"/>
      <c r="Y141" s="1"/>
      <c r="Z141" s="1"/>
      <c r="AA141" s="1"/>
      <c r="AB141" s="1"/>
      <c r="AC141" s="2" t="s">
        <v>51</v>
      </c>
      <c r="AD141" s="2">
        <f t="shared" si="2"/>
        <v>2018</v>
      </c>
    </row>
    <row r="142" spans="1:30" hidden="1">
      <c r="A142" s="1" t="s">
        <v>413</v>
      </c>
      <c r="B142" s="3">
        <v>43328</v>
      </c>
      <c r="C142" s="1" t="s">
        <v>824</v>
      </c>
      <c r="D142" s="1" t="s">
        <v>203</v>
      </c>
      <c r="E142" s="1" t="s">
        <v>74</v>
      </c>
      <c r="F142" s="1" t="s">
        <v>34</v>
      </c>
      <c r="G142" s="2" t="s">
        <v>825</v>
      </c>
      <c r="H142" s="1" t="s">
        <v>188</v>
      </c>
      <c r="I142" s="6"/>
      <c r="J142" s="4">
        <v>20</v>
      </c>
      <c r="L142" s="4"/>
      <c r="M142" s="2" t="s">
        <v>159</v>
      </c>
      <c r="N142" s="1" t="s">
        <v>86</v>
      </c>
      <c r="O142" s="1" t="s">
        <v>826</v>
      </c>
      <c r="Q142" s="1" t="s">
        <v>827</v>
      </c>
      <c r="R142" s="2">
        <v>55121</v>
      </c>
      <c r="S142" s="44">
        <v>44.834181999999998</v>
      </c>
      <c r="T142" s="45">
        <v>-93.141182000000001</v>
      </c>
      <c r="U142" s="1"/>
      <c r="V142" s="1"/>
      <c r="W142" s="1"/>
      <c r="X142" s="1"/>
      <c r="Y142" s="1"/>
      <c r="Z142" s="1"/>
      <c r="AA142" s="1"/>
      <c r="AB142" s="1"/>
      <c r="AC142" s="2" t="s">
        <v>51</v>
      </c>
      <c r="AD142" s="2">
        <f t="shared" si="2"/>
        <v>2018</v>
      </c>
    </row>
    <row r="143" spans="1:30" hidden="1">
      <c r="A143" s="1" t="s">
        <v>413</v>
      </c>
      <c r="B143" s="3">
        <v>43328</v>
      </c>
      <c r="C143" s="1" t="s">
        <v>828</v>
      </c>
      <c r="D143" s="1" t="s">
        <v>65</v>
      </c>
      <c r="E143" s="1" t="s">
        <v>66</v>
      </c>
      <c r="F143" s="1" t="s">
        <v>34</v>
      </c>
      <c r="G143" s="2" t="s">
        <v>829</v>
      </c>
      <c r="H143" s="1" t="s">
        <v>101</v>
      </c>
      <c r="I143" s="6"/>
      <c r="J143" s="4">
        <v>10</v>
      </c>
      <c r="L143" s="4"/>
      <c r="M143" s="1"/>
      <c r="N143" s="1" t="s">
        <v>140</v>
      </c>
      <c r="O143" s="1" t="s">
        <v>830</v>
      </c>
      <c r="Q143" s="1" t="s">
        <v>831</v>
      </c>
      <c r="R143" s="2">
        <v>55401</v>
      </c>
      <c r="S143" s="44">
        <v>44.989386000000003</v>
      </c>
      <c r="T143" s="45">
        <v>-93.278626000000003</v>
      </c>
      <c r="U143" s="1"/>
      <c r="V143" s="1"/>
      <c r="W143" s="1"/>
      <c r="X143" s="1"/>
      <c r="Y143" s="1"/>
      <c r="Z143" s="1"/>
      <c r="AA143" s="1"/>
      <c r="AB143" s="1"/>
      <c r="AC143" s="2" t="s">
        <v>51</v>
      </c>
      <c r="AD143" s="2">
        <f t="shared" si="2"/>
        <v>2018</v>
      </c>
    </row>
    <row r="144" spans="1:30" hidden="1">
      <c r="A144" s="1" t="s">
        <v>413</v>
      </c>
      <c r="B144" s="3">
        <v>43328</v>
      </c>
      <c r="C144" s="1" t="s">
        <v>832</v>
      </c>
      <c r="D144" s="1" t="s">
        <v>528</v>
      </c>
      <c r="E144" s="1" t="s">
        <v>66</v>
      </c>
      <c r="F144" s="1" t="s">
        <v>34</v>
      </c>
      <c r="G144" s="2" t="s">
        <v>833</v>
      </c>
      <c r="H144" s="1" t="s">
        <v>48</v>
      </c>
      <c r="I144" s="6"/>
      <c r="J144" s="4">
        <v>100</v>
      </c>
      <c r="L144" s="4"/>
      <c r="M144" s="1" t="s">
        <v>450</v>
      </c>
      <c r="N144" s="1" t="s">
        <v>48</v>
      </c>
      <c r="O144" s="1" t="s">
        <v>834</v>
      </c>
      <c r="Q144" s="1" t="s">
        <v>835</v>
      </c>
      <c r="R144" s="2">
        <v>55420</v>
      </c>
      <c r="S144" s="44">
        <v>44.861657999999998</v>
      </c>
      <c r="T144" s="45">
        <v>-93.260357999999997</v>
      </c>
      <c r="U144" s="1"/>
      <c r="V144" s="1"/>
      <c r="W144" s="1"/>
      <c r="X144" s="1"/>
      <c r="Y144" s="1"/>
      <c r="Z144" s="1"/>
      <c r="AA144" s="1"/>
      <c r="AB144" s="1"/>
      <c r="AC144" s="2" t="s">
        <v>51</v>
      </c>
      <c r="AD144" s="2">
        <f t="shared" si="2"/>
        <v>2018</v>
      </c>
    </row>
    <row r="145" spans="1:30" hidden="1">
      <c r="A145" s="1" t="s">
        <v>413</v>
      </c>
      <c r="B145" s="3">
        <v>43328</v>
      </c>
      <c r="C145" s="1" t="s">
        <v>836</v>
      </c>
      <c r="D145" s="1" t="s">
        <v>415</v>
      </c>
      <c r="E145" s="1" t="s">
        <v>395</v>
      </c>
      <c r="F145" s="1" t="s">
        <v>34</v>
      </c>
      <c r="G145" s="2" t="s">
        <v>837</v>
      </c>
      <c r="H145" s="1" t="s">
        <v>68</v>
      </c>
      <c r="I145" s="6"/>
      <c r="J145" s="4">
        <v>200</v>
      </c>
      <c r="L145" s="4"/>
      <c r="M145" s="2" t="s">
        <v>159</v>
      </c>
      <c r="N145" s="1" t="s">
        <v>86</v>
      </c>
      <c r="O145" s="1" t="s">
        <v>838</v>
      </c>
      <c r="Q145" s="1" t="s">
        <v>839</v>
      </c>
      <c r="R145" s="2">
        <v>56301</v>
      </c>
      <c r="S145" s="44">
        <v>45.490848</v>
      </c>
      <c r="T145" s="45">
        <v>-94.147718999999995</v>
      </c>
      <c r="U145" s="1"/>
      <c r="V145" s="1"/>
      <c r="W145" s="1"/>
      <c r="X145" s="1"/>
      <c r="Y145" s="1"/>
      <c r="Z145" s="1"/>
      <c r="AA145" s="1"/>
      <c r="AB145" s="1"/>
      <c r="AC145" s="2" t="s">
        <v>41</v>
      </c>
      <c r="AD145" s="2">
        <f t="shared" si="2"/>
        <v>2018</v>
      </c>
    </row>
    <row r="146" spans="1:30" hidden="1">
      <c r="A146" s="1" t="s">
        <v>413</v>
      </c>
      <c r="B146" s="3">
        <v>43328</v>
      </c>
      <c r="C146" s="1" t="s">
        <v>840</v>
      </c>
      <c r="D146" s="1" t="s">
        <v>841</v>
      </c>
      <c r="E146" s="1" t="s">
        <v>842</v>
      </c>
      <c r="F146" s="1" t="s">
        <v>34</v>
      </c>
      <c r="G146" s="2" t="s">
        <v>843</v>
      </c>
      <c r="H146" s="1" t="s">
        <v>36</v>
      </c>
      <c r="I146" s="6">
        <v>11200000</v>
      </c>
      <c r="J146" s="4"/>
      <c r="L146" s="4"/>
      <c r="M146" s="1"/>
      <c r="N146" s="1" t="s">
        <v>37</v>
      </c>
      <c r="O146" s="1" t="s">
        <v>844</v>
      </c>
      <c r="Q146" s="1" t="s">
        <v>845</v>
      </c>
      <c r="R146" s="2">
        <v>55912</v>
      </c>
      <c r="S146" s="44">
        <v>43.674433999999998</v>
      </c>
      <c r="T146" s="45">
        <v>-92.978168999999994</v>
      </c>
      <c r="U146" s="1"/>
      <c r="V146" s="1"/>
      <c r="W146" s="1"/>
      <c r="X146" s="1"/>
      <c r="Y146" s="1" t="s">
        <v>840</v>
      </c>
      <c r="Z146" s="1" t="s">
        <v>111</v>
      </c>
      <c r="AA146" s="1" t="s">
        <v>34</v>
      </c>
      <c r="AB146" s="1"/>
      <c r="AC146" s="2" t="s">
        <v>120</v>
      </c>
      <c r="AD146" s="2">
        <f t="shared" si="2"/>
        <v>2018</v>
      </c>
    </row>
    <row r="147" spans="1:30" hidden="1">
      <c r="A147" s="1" t="s">
        <v>413</v>
      </c>
      <c r="B147" s="3">
        <v>43328</v>
      </c>
      <c r="C147" s="1" t="s">
        <v>846</v>
      </c>
      <c r="D147" s="1" t="s">
        <v>96</v>
      </c>
      <c r="E147" s="1" t="s">
        <v>99</v>
      </c>
      <c r="F147" s="1" t="s">
        <v>34</v>
      </c>
      <c r="G147" s="2" t="s">
        <v>847</v>
      </c>
      <c r="H147" s="1" t="s">
        <v>68</v>
      </c>
      <c r="I147" s="6"/>
      <c r="J147" s="4">
        <v>8</v>
      </c>
      <c r="L147" s="4"/>
      <c r="M147" s="1"/>
      <c r="N147" s="2" t="s">
        <v>69</v>
      </c>
      <c r="O147" s="1"/>
      <c r="Q147" s="1" t="s">
        <v>848</v>
      </c>
      <c r="R147" s="2">
        <v>55155</v>
      </c>
      <c r="S147" s="2">
        <v>45.0088005</v>
      </c>
      <c r="T147" s="2">
        <v>-93.206100500000005</v>
      </c>
      <c r="U147" s="1"/>
      <c r="V147" s="1"/>
      <c r="W147" s="1"/>
      <c r="X147" s="1"/>
      <c r="Y147" s="1"/>
      <c r="Z147" s="1"/>
      <c r="AA147" s="1"/>
      <c r="AB147" s="1"/>
      <c r="AC147" s="2" t="s">
        <v>41</v>
      </c>
      <c r="AD147" s="2">
        <f t="shared" si="2"/>
        <v>2018</v>
      </c>
    </row>
    <row r="148" spans="1:30" hidden="1">
      <c r="A148" s="1" t="s">
        <v>413</v>
      </c>
      <c r="B148" s="3">
        <v>43328</v>
      </c>
      <c r="C148" s="1" t="s">
        <v>849</v>
      </c>
      <c r="D148" s="1" t="s">
        <v>65</v>
      </c>
      <c r="E148" s="1" t="s">
        <v>66</v>
      </c>
      <c r="F148" s="1" t="s">
        <v>34</v>
      </c>
      <c r="G148" s="2" t="s">
        <v>850</v>
      </c>
      <c r="H148" s="1" t="s">
        <v>68</v>
      </c>
      <c r="I148" s="6"/>
      <c r="J148" s="4"/>
      <c r="L148" s="4"/>
      <c r="M148" s="1" t="s">
        <v>390</v>
      </c>
      <c r="N148" s="1" t="s">
        <v>86</v>
      </c>
      <c r="O148" s="1" t="s">
        <v>851</v>
      </c>
      <c r="Q148" s="1" t="s">
        <v>852</v>
      </c>
      <c r="R148" s="2">
        <v>55402</v>
      </c>
      <c r="S148" s="44">
        <v>44.978382000000003</v>
      </c>
      <c r="T148" s="45">
        <v>-93.269256999999996</v>
      </c>
      <c r="U148" s="1"/>
      <c r="V148" s="1"/>
      <c r="W148" s="1"/>
      <c r="X148" s="1"/>
      <c r="Y148" s="1"/>
      <c r="Z148" s="1"/>
      <c r="AA148" s="1"/>
      <c r="AB148" s="1"/>
      <c r="AC148" s="2" t="s">
        <v>51</v>
      </c>
      <c r="AD148" s="2">
        <f t="shared" si="2"/>
        <v>2018</v>
      </c>
    </row>
    <row r="149" spans="1:30" hidden="1">
      <c r="A149" s="1" t="s">
        <v>413</v>
      </c>
      <c r="B149" s="3">
        <v>43328</v>
      </c>
      <c r="C149" s="1" t="s">
        <v>853</v>
      </c>
      <c r="D149" s="1" t="s">
        <v>65</v>
      </c>
      <c r="E149" s="1" t="s">
        <v>66</v>
      </c>
      <c r="F149" s="1" t="s">
        <v>34</v>
      </c>
      <c r="G149" s="2" t="s">
        <v>854</v>
      </c>
      <c r="H149" s="1" t="s">
        <v>68</v>
      </c>
      <c r="I149" s="6"/>
      <c r="J149" s="4">
        <v>55</v>
      </c>
      <c r="L149" s="4"/>
      <c r="M149" s="2" t="s">
        <v>159</v>
      </c>
      <c r="N149" s="1" t="s">
        <v>86</v>
      </c>
      <c r="O149" s="1" t="s">
        <v>855</v>
      </c>
      <c r="Q149" s="1" t="s">
        <v>856</v>
      </c>
      <c r="R149" s="2">
        <v>55416</v>
      </c>
      <c r="S149" s="44">
        <v>44.964787000000001</v>
      </c>
      <c r="T149" s="45">
        <v>-93.348395999999994</v>
      </c>
      <c r="U149" s="1"/>
      <c r="V149" s="1"/>
      <c r="W149" s="1"/>
      <c r="X149" s="1"/>
      <c r="Y149" s="1"/>
      <c r="Z149" s="1"/>
      <c r="AA149" s="1"/>
      <c r="AB149" s="1"/>
      <c r="AC149" s="2" t="s">
        <v>51</v>
      </c>
      <c r="AD149" s="2">
        <f t="shared" si="2"/>
        <v>2018</v>
      </c>
    </row>
    <row r="150" spans="1:30" hidden="1">
      <c r="A150" s="1" t="s">
        <v>413</v>
      </c>
      <c r="B150" s="3">
        <v>43328</v>
      </c>
      <c r="C150" s="1" t="s">
        <v>857</v>
      </c>
      <c r="D150" s="1" t="s">
        <v>858</v>
      </c>
      <c r="E150" s="1" t="s">
        <v>44</v>
      </c>
      <c r="F150" s="1" t="s">
        <v>34</v>
      </c>
      <c r="G150" s="2" t="s">
        <v>859</v>
      </c>
      <c r="H150" s="1" t="s">
        <v>68</v>
      </c>
      <c r="I150" s="6"/>
      <c r="J150" s="4">
        <v>10</v>
      </c>
      <c r="L150" s="4"/>
      <c r="M150" s="1"/>
      <c r="N150" s="1" t="s">
        <v>140</v>
      </c>
      <c r="O150" s="1" t="s">
        <v>860</v>
      </c>
      <c r="Q150" s="1" t="s">
        <v>861</v>
      </c>
      <c r="R150" s="2">
        <v>55071</v>
      </c>
      <c r="S150" s="44">
        <v>44.839314999999999</v>
      </c>
      <c r="T150" s="45">
        <v>-92.976573999999999</v>
      </c>
      <c r="U150" s="1"/>
      <c r="V150" s="1"/>
      <c r="W150" s="1"/>
      <c r="X150" s="1"/>
      <c r="Y150" s="1"/>
      <c r="Z150" s="1"/>
      <c r="AA150" s="1"/>
      <c r="AB150" s="1"/>
      <c r="AC150" s="2" t="s">
        <v>51</v>
      </c>
      <c r="AD150" s="2">
        <f t="shared" si="2"/>
        <v>2018</v>
      </c>
    </row>
    <row r="151" spans="1:30" hidden="1">
      <c r="A151" s="1" t="s">
        <v>413</v>
      </c>
      <c r="B151" s="3">
        <v>43328</v>
      </c>
      <c r="C151" s="1" t="s">
        <v>862</v>
      </c>
      <c r="D151" s="1" t="s">
        <v>65</v>
      </c>
      <c r="E151" s="1" t="s">
        <v>66</v>
      </c>
      <c r="F151" s="1" t="s">
        <v>34</v>
      </c>
      <c r="G151" s="2" t="s">
        <v>863</v>
      </c>
      <c r="H151" s="1" t="s">
        <v>68</v>
      </c>
      <c r="I151" s="6"/>
      <c r="J151" s="4">
        <v>20</v>
      </c>
      <c r="L151" s="4"/>
      <c r="M151" s="1" t="s">
        <v>85</v>
      </c>
      <c r="N151" s="1" t="s">
        <v>86</v>
      </c>
      <c r="O151" s="1" t="s">
        <v>864</v>
      </c>
      <c r="Q151" s="1" t="s">
        <v>865</v>
      </c>
      <c r="R151" s="2">
        <v>55413</v>
      </c>
      <c r="S151" s="44">
        <v>44.992932000000003</v>
      </c>
      <c r="T151" s="45">
        <v>-93.257911000000007</v>
      </c>
      <c r="U151" s="1"/>
      <c r="V151" s="1"/>
      <c r="W151" s="1"/>
      <c r="X151" s="1"/>
      <c r="Y151" s="1"/>
      <c r="Z151" s="1"/>
      <c r="AA151" s="1"/>
      <c r="AB151" s="1"/>
      <c r="AC151" s="2" t="s">
        <v>51</v>
      </c>
      <c r="AD151" s="2">
        <f t="shared" si="2"/>
        <v>2018</v>
      </c>
    </row>
    <row r="152" spans="1:30" hidden="1">
      <c r="A152" s="1" t="s">
        <v>413</v>
      </c>
      <c r="B152" s="3">
        <v>43328</v>
      </c>
      <c r="C152" s="1" t="s">
        <v>866</v>
      </c>
      <c r="D152" s="1" t="s">
        <v>544</v>
      </c>
      <c r="E152" s="1" t="s">
        <v>66</v>
      </c>
      <c r="F152" s="1" t="s">
        <v>34</v>
      </c>
      <c r="G152" s="2" t="s">
        <v>867</v>
      </c>
      <c r="H152" s="1" t="s">
        <v>101</v>
      </c>
      <c r="I152" s="6"/>
      <c r="J152" s="4">
        <v>1</v>
      </c>
      <c r="L152" s="4"/>
      <c r="M152" s="1" t="s">
        <v>294</v>
      </c>
      <c r="N152" s="1" t="s">
        <v>86</v>
      </c>
      <c r="O152" s="1" t="s">
        <v>868</v>
      </c>
      <c r="Q152" s="1" t="s">
        <v>869</v>
      </c>
      <c r="R152" s="2">
        <v>55416</v>
      </c>
      <c r="S152" s="44">
        <v>44.966594999999998</v>
      </c>
      <c r="T152" s="45">
        <v>-93.348313000000005</v>
      </c>
      <c r="U152" s="1"/>
      <c r="V152" s="1"/>
      <c r="W152" s="1"/>
      <c r="X152" s="1" t="s">
        <v>116</v>
      </c>
      <c r="Y152" s="1"/>
      <c r="Z152" s="1"/>
      <c r="AA152" s="1"/>
      <c r="AB152" s="1"/>
      <c r="AC152" s="2" t="s">
        <v>51</v>
      </c>
      <c r="AD152" s="2">
        <f t="shared" si="2"/>
        <v>2018</v>
      </c>
    </row>
    <row r="153" spans="1:30" hidden="1">
      <c r="A153" s="1" t="s">
        <v>413</v>
      </c>
      <c r="B153" s="3">
        <v>43328</v>
      </c>
      <c r="C153" s="1" t="s">
        <v>870</v>
      </c>
      <c r="D153" s="1" t="s">
        <v>65</v>
      </c>
      <c r="E153" s="1" t="s">
        <v>66</v>
      </c>
      <c r="F153" s="1" t="s">
        <v>34</v>
      </c>
      <c r="G153" s="2" t="s">
        <v>871</v>
      </c>
      <c r="H153" s="1" t="s">
        <v>101</v>
      </c>
      <c r="I153" s="6"/>
      <c r="J153" s="4">
        <v>60</v>
      </c>
      <c r="L153" s="4"/>
      <c r="M153" s="1" t="s">
        <v>85</v>
      </c>
      <c r="N153" s="1" t="s">
        <v>86</v>
      </c>
      <c r="O153" s="1" t="s">
        <v>872</v>
      </c>
      <c r="Q153" s="1" t="s">
        <v>873</v>
      </c>
      <c r="R153" s="2">
        <v>55402</v>
      </c>
      <c r="S153" s="44">
        <v>44.978382000000003</v>
      </c>
      <c r="T153" s="45">
        <v>-93.269256999999996</v>
      </c>
      <c r="U153" s="1"/>
      <c r="V153" s="1"/>
      <c r="W153" s="1"/>
      <c r="X153" s="1"/>
      <c r="Y153" s="1" t="s">
        <v>874</v>
      </c>
      <c r="Z153" s="1" t="s">
        <v>875</v>
      </c>
      <c r="AA153" s="1" t="s">
        <v>328</v>
      </c>
      <c r="AB153" s="1"/>
      <c r="AC153" s="2" t="s">
        <v>51</v>
      </c>
      <c r="AD153" s="2">
        <f t="shared" si="2"/>
        <v>2018</v>
      </c>
    </row>
    <row r="154" spans="1:30" hidden="1">
      <c r="A154" s="1" t="s">
        <v>413</v>
      </c>
      <c r="B154" s="3">
        <v>43328</v>
      </c>
      <c r="C154" s="1" t="s">
        <v>876</v>
      </c>
      <c r="D154" s="1" t="s">
        <v>65</v>
      </c>
      <c r="E154" s="1" t="s">
        <v>66</v>
      </c>
      <c r="F154" s="1" t="s">
        <v>34</v>
      </c>
      <c r="G154" s="2" t="s">
        <v>877</v>
      </c>
      <c r="H154" s="1" t="s">
        <v>68</v>
      </c>
      <c r="I154" s="6"/>
      <c r="J154" s="4"/>
      <c r="L154" s="4"/>
      <c r="M154" s="1" t="s">
        <v>85</v>
      </c>
      <c r="N154" s="1" t="s">
        <v>86</v>
      </c>
      <c r="O154" s="1" t="s">
        <v>878</v>
      </c>
      <c r="Q154" s="1" t="s">
        <v>879</v>
      </c>
      <c r="R154" s="2">
        <v>55413</v>
      </c>
      <c r="S154" s="44">
        <v>45.002665</v>
      </c>
      <c r="T154" s="45">
        <v>-93.248981000000001</v>
      </c>
      <c r="U154" s="1"/>
      <c r="V154" s="1"/>
      <c r="W154" s="1"/>
      <c r="X154" s="1"/>
      <c r="Y154" s="1"/>
      <c r="Z154" s="1"/>
      <c r="AA154" s="1"/>
      <c r="AB154" s="1"/>
      <c r="AC154" s="2" t="s">
        <v>51</v>
      </c>
      <c r="AD154" s="2">
        <f t="shared" si="2"/>
        <v>2018</v>
      </c>
    </row>
    <row r="155" spans="1:30" hidden="1">
      <c r="A155" s="1" t="s">
        <v>413</v>
      </c>
      <c r="B155" s="3">
        <v>43328</v>
      </c>
      <c r="C155" s="1" t="s">
        <v>880</v>
      </c>
      <c r="D155" s="1" t="s">
        <v>676</v>
      </c>
      <c r="E155" s="1" t="s">
        <v>677</v>
      </c>
      <c r="F155" s="1" t="s">
        <v>34</v>
      </c>
      <c r="G155" s="2" t="s">
        <v>881</v>
      </c>
      <c r="H155" s="1" t="s">
        <v>68</v>
      </c>
      <c r="I155" s="6"/>
      <c r="J155" s="4">
        <v>4</v>
      </c>
      <c r="L155" s="4"/>
      <c r="M155" s="1" t="s">
        <v>85</v>
      </c>
      <c r="N155" s="1" t="s">
        <v>86</v>
      </c>
      <c r="O155" s="1" t="s">
        <v>882</v>
      </c>
      <c r="Q155" s="1" t="s">
        <v>883</v>
      </c>
      <c r="R155" s="2">
        <v>55432</v>
      </c>
      <c r="S155" s="44">
        <v>45.082169999999998</v>
      </c>
      <c r="T155" s="45">
        <v>-93.262675000000002</v>
      </c>
      <c r="U155" s="1"/>
      <c r="V155" s="1"/>
      <c r="W155" s="1"/>
      <c r="X155" s="1"/>
      <c r="Y155" s="1"/>
      <c r="Z155" s="1"/>
      <c r="AA155" s="1"/>
      <c r="AB155" s="1"/>
      <c r="AC155" s="2" t="s">
        <v>51</v>
      </c>
      <c r="AD155" s="2">
        <f t="shared" si="2"/>
        <v>2018</v>
      </c>
    </row>
    <row r="156" spans="1:30" hidden="1">
      <c r="A156" s="1" t="s">
        <v>413</v>
      </c>
      <c r="B156" s="3">
        <v>43332</v>
      </c>
      <c r="C156" s="1" t="s">
        <v>884</v>
      </c>
      <c r="D156" s="1" t="s">
        <v>174</v>
      </c>
      <c r="E156" s="1" t="s">
        <v>66</v>
      </c>
      <c r="F156" s="1" t="s">
        <v>34</v>
      </c>
      <c r="G156" s="2" t="s">
        <v>885</v>
      </c>
      <c r="H156" s="1" t="s">
        <v>68</v>
      </c>
      <c r="I156" s="6">
        <v>5600000</v>
      </c>
      <c r="J156" s="4">
        <v>18</v>
      </c>
      <c r="L156" s="4">
        <v>75000</v>
      </c>
      <c r="M156" s="1" t="s">
        <v>102</v>
      </c>
      <c r="N156" s="1" t="s">
        <v>103</v>
      </c>
      <c r="O156" s="1" t="s">
        <v>886</v>
      </c>
      <c r="Q156" s="1" t="s">
        <v>887</v>
      </c>
      <c r="R156" s="2">
        <v>55343</v>
      </c>
      <c r="S156" s="44">
        <v>44.920309000000003</v>
      </c>
      <c r="T156" s="45">
        <v>-93.420356999999996</v>
      </c>
      <c r="U156" s="1" t="s">
        <v>60</v>
      </c>
      <c r="V156" s="1"/>
      <c r="W156" s="1"/>
      <c r="X156" s="1"/>
      <c r="Y156" s="1"/>
      <c r="Z156" s="1"/>
      <c r="AA156" s="1"/>
      <c r="AB156" s="1"/>
      <c r="AC156" s="2" t="s">
        <v>51</v>
      </c>
      <c r="AD156" s="2">
        <f t="shared" si="2"/>
        <v>2018</v>
      </c>
    </row>
    <row r="157" spans="1:30" hidden="1">
      <c r="A157" s="1" t="s">
        <v>413</v>
      </c>
      <c r="B157" s="3">
        <v>43332</v>
      </c>
      <c r="C157" s="1" t="s">
        <v>888</v>
      </c>
      <c r="D157" s="1" t="s">
        <v>625</v>
      </c>
      <c r="E157" s="1" t="s">
        <v>182</v>
      </c>
      <c r="F157" s="1" t="s">
        <v>34</v>
      </c>
      <c r="G157" s="2" t="s">
        <v>889</v>
      </c>
      <c r="H157" s="1" t="s">
        <v>46</v>
      </c>
      <c r="I157" s="6">
        <v>1300000</v>
      </c>
      <c r="J157" s="4">
        <v>10</v>
      </c>
      <c r="L157" s="4"/>
      <c r="M157" s="1" t="s">
        <v>294</v>
      </c>
      <c r="N157" s="1" t="s">
        <v>86</v>
      </c>
      <c r="O157" s="1" t="s">
        <v>890</v>
      </c>
      <c r="Q157" s="1" t="s">
        <v>891</v>
      </c>
      <c r="R157" s="2">
        <v>56003</v>
      </c>
      <c r="S157" s="44">
        <v>44.184362</v>
      </c>
      <c r="T157" s="45">
        <v>-94.059325000000001</v>
      </c>
      <c r="U157" s="1" t="s">
        <v>60</v>
      </c>
      <c r="V157" s="1"/>
      <c r="W157" s="1"/>
      <c r="X157" s="1"/>
      <c r="Y157" s="1"/>
      <c r="Z157" s="1"/>
      <c r="AA157" s="1"/>
      <c r="AB157" s="1"/>
      <c r="AC157" s="2" t="s">
        <v>120</v>
      </c>
      <c r="AD157" s="2">
        <f t="shared" si="2"/>
        <v>2018</v>
      </c>
    </row>
    <row r="158" spans="1:30" hidden="1">
      <c r="A158" s="1" t="s">
        <v>413</v>
      </c>
      <c r="B158" s="3">
        <v>43333</v>
      </c>
      <c r="C158" s="1" t="s">
        <v>892</v>
      </c>
      <c r="D158" s="1" t="s">
        <v>601</v>
      </c>
      <c r="E158" s="1" t="s">
        <v>74</v>
      </c>
      <c r="F158" s="1" t="s">
        <v>34</v>
      </c>
      <c r="G158" s="2" t="s">
        <v>893</v>
      </c>
      <c r="H158" s="1" t="s">
        <v>894</v>
      </c>
      <c r="I158" s="6"/>
      <c r="J158" s="4">
        <v>300</v>
      </c>
      <c r="L158" s="4"/>
      <c r="M158" s="1" t="s">
        <v>796</v>
      </c>
      <c r="N158" s="1" t="s">
        <v>103</v>
      </c>
      <c r="O158" s="1" t="s">
        <v>895</v>
      </c>
      <c r="Q158" s="1" t="s">
        <v>896</v>
      </c>
      <c r="R158" s="2">
        <v>55120</v>
      </c>
      <c r="S158" s="44">
        <v>44.872740999999998</v>
      </c>
      <c r="T158" s="45">
        <v>-93.171828000000005</v>
      </c>
      <c r="U158" s="1"/>
      <c r="V158" s="1"/>
      <c r="W158" s="1"/>
      <c r="X158" s="1"/>
      <c r="Y158" s="1"/>
      <c r="Z158" s="1"/>
      <c r="AA158" s="1"/>
      <c r="AB158" s="1"/>
      <c r="AC158" s="2" t="s">
        <v>51</v>
      </c>
      <c r="AD158" s="2">
        <f t="shared" si="2"/>
        <v>2018</v>
      </c>
    </row>
    <row r="159" spans="1:30" hidden="1">
      <c r="A159" s="1" t="s">
        <v>413</v>
      </c>
      <c r="B159" s="3">
        <v>43333</v>
      </c>
      <c r="C159" s="1" t="s">
        <v>897</v>
      </c>
      <c r="D159" s="1" t="s">
        <v>65</v>
      </c>
      <c r="E159" s="1" t="s">
        <v>66</v>
      </c>
      <c r="F159" s="1" t="s">
        <v>34</v>
      </c>
      <c r="G159" s="2" t="s">
        <v>898</v>
      </c>
      <c r="H159" s="1" t="s">
        <v>101</v>
      </c>
      <c r="I159" s="6"/>
      <c r="J159" s="4"/>
      <c r="L159" s="4">
        <v>11000</v>
      </c>
      <c r="M159" s="2" t="s">
        <v>159</v>
      </c>
      <c r="N159" s="1" t="s">
        <v>86</v>
      </c>
      <c r="O159" s="1" t="s">
        <v>899</v>
      </c>
      <c r="Q159" s="1" t="s">
        <v>900</v>
      </c>
      <c r="R159" s="2">
        <v>55402</v>
      </c>
      <c r="S159" s="44">
        <v>44.977682999999999</v>
      </c>
      <c r="T159" s="45">
        <v>-93.270872999999995</v>
      </c>
      <c r="U159" s="1"/>
      <c r="V159" s="1"/>
      <c r="W159" s="1"/>
      <c r="X159" s="1"/>
      <c r="Y159" s="1" t="s">
        <v>897</v>
      </c>
      <c r="Z159" s="1" t="s">
        <v>260</v>
      </c>
      <c r="AA159" s="1" t="s">
        <v>261</v>
      </c>
      <c r="AB159" s="1"/>
      <c r="AC159" s="2" t="s">
        <v>51</v>
      </c>
      <c r="AD159" s="2">
        <f t="shared" si="2"/>
        <v>2018</v>
      </c>
    </row>
    <row r="160" spans="1:30" hidden="1">
      <c r="A160" s="1" t="s">
        <v>413</v>
      </c>
      <c r="B160" s="3">
        <v>43333</v>
      </c>
      <c r="C160" s="1" t="s">
        <v>901</v>
      </c>
      <c r="D160" s="1" t="s">
        <v>96</v>
      </c>
      <c r="E160" s="1" t="s">
        <v>99</v>
      </c>
      <c r="F160" s="1" t="s">
        <v>34</v>
      </c>
      <c r="G160" s="2" t="s">
        <v>902</v>
      </c>
      <c r="H160" s="1" t="s">
        <v>153</v>
      </c>
      <c r="I160" s="6"/>
      <c r="J160" s="4"/>
      <c r="L160" s="4"/>
      <c r="M160" s="1" t="s">
        <v>154</v>
      </c>
      <c r="N160" s="1" t="s">
        <v>86</v>
      </c>
      <c r="O160" s="1" t="s">
        <v>903</v>
      </c>
      <c r="Q160" s="1" t="s">
        <v>904</v>
      </c>
      <c r="R160" s="2">
        <v>56001</v>
      </c>
      <c r="S160" s="48">
        <v>44.955219</v>
      </c>
      <c r="T160" s="45">
        <v>-93.152617000000006</v>
      </c>
      <c r="U160" s="1"/>
      <c r="V160" s="1"/>
      <c r="W160" s="1"/>
      <c r="X160" s="1"/>
      <c r="Y160" s="1"/>
      <c r="Z160" s="1"/>
      <c r="AA160" s="1"/>
      <c r="AB160" s="1"/>
      <c r="AC160" s="2" t="s">
        <v>51</v>
      </c>
      <c r="AD160" s="2">
        <f t="shared" si="2"/>
        <v>2018</v>
      </c>
    </row>
    <row r="161" spans="1:30" hidden="1">
      <c r="A161" s="1" t="s">
        <v>413</v>
      </c>
      <c r="B161" s="3">
        <v>43334</v>
      </c>
      <c r="C161" s="1" t="s">
        <v>905</v>
      </c>
      <c r="D161" s="1" t="s">
        <v>906</v>
      </c>
      <c r="E161" s="1" t="s">
        <v>907</v>
      </c>
      <c r="F161" s="1" t="s">
        <v>34</v>
      </c>
      <c r="G161" s="2" t="s">
        <v>908</v>
      </c>
      <c r="H161" s="1" t="s">
        <v>46</v>
      </c>
      <c r="I161" s="6">
        <v>3340960</v>
      </c>
      <c r="J161" s="4">
        <v>10</v>
      </c>
      <c r="L161" s="4">
        <v>50000</v>
      </c>
      <c r="M161" s="1" t="s">
        <v>47</v>
      </c>
      <c r="N161" s="1" t="s">
        <v>48</v>
      </c>
      <c r="O161" s="1" t="s">
        <v>909</v>
      </c>
      <c r="Q161" s="1" t="s">
        <v>910</v>
      </c>
      <c r="R161" s="2">
        <v>56364</v>
      </c>
      <c r="S161" s="44">
        <v>46.012689000000002</v>
      </c>
      <c r="T161" s="45">
        <v>-94.118663999999995</v>
      </c>
      <c r="U161" s="1" t="s">
        <v>60</v>
      </c>
      <c r="V161" s="1"/>
      <c r="W161" s="1"/>
      <c r="X161" s="1"/>
      <c r="Y161" s="1" t="s">
        <v>911</v>
      </c>
      <c r="Z161" s="1" t="s">
        <v>906</v>
      </c>
      <c r="AA161" s="1" t="s">
        <v>34</v>
      </c>
      <c r="AB161" s="1"/>
      <c r="AC161" s="2" t="s">
        <v>41</v>
      </c>
      <c r="AD161" s="2">
        <f t="shared" si="2"/>
        <v>2018</v>
      </c>
    </row>
    <row r="162" spans="1:30" hidden="1">
      <c r="A162" s="1" t="s">
        <v>413</v>
      </c>
      <c r="B162" s="3">
        <v>43334</v>
      </c>
      <c r="C162" s="1" t="s">
        <v>912</v>
      </c>
      <c r="D162" s="1" t="s">
        <v>340</v>
      </c>
      <c r="E162" s="1" t="s">
        <v>66</v>
      </c>
      <c r="F162" s="1" t="s">
        <v>34</v>
      </c>
      <c r="G162" s="2" t="s">
        <v>913</v>
      </c>
      <c r="H162" s="1" t="s">
        <v>46</v>
      </c>
      <c r="I162" s="9"/>
      <c r="J162" s="4">
        <v>14</v>
      </c>
      <c r="L162" s="4"/>
      <c r="M162" s="1" t="s">
        <v>167</v>
      </c>
      <c r="N162" s="1" t="s">
        <v>48</v>
      </c>
      <c r="O162" s="1" t="s">
        <v>914</v>
      </c>
      <c r="Q162" s="1" t="s">
        <v>915</v>
      </c>
      <c r="R162" s="2">
        <v>55441</v>
      </c>
      <c r="S162" s="44">
        <v>45.007046000000003</v>
      </c>
      <c r="T162" s="45">
        <v>-93.453598</v>
      </c>
      <c r="U162" s="1" t="s">
        <v>143</v>
      </c>
      <c r="V162" s="1"/>
      <c r="W162" s="1"/>
      <c r="X162" s="1" t="s">
        <v>116</v>
      </c>
      <c r="Y162" s="1"/>
      <c r="Z162" s="1"/>
      <c r="AA162" s="1"/>
      <c r="AB162" s="1"/>
      <c r="AC162" s="2" t="s">
        <v>51</v>
      </c>
      <c r="AD162" s="2">
        <f t="shared" si="2"/>
        <v>2018</v>
      </c>
    </row>
    <row r="163" spans="1:30" hidden="1">
      <c r="A163" s="1" t="s">
        <v>413</v>
      </c>
      <c r="B163" s="3">
        <v>43335</v>
      </c>
      <c r="C163" s="1" t="s">
        <v>916</v>
      </c>
      <c r="D163" s="1" t="s">
        <v>96</v>
      </c>
      <c r="E163" s="1" t="s">
        <v>99</v>
      </c>
      <c r="F163" s="1" t="s">
        <v>34</v>
      </c>
      <c r="G163" s="2" t="s">
        <v>917</v>
      </c>
      <c r="H163" s="1" t="s">
        <v>48</v>
      </c>
      <c r="I163" s="6">
        <v>1000000</v>
      </c>
      <c r="J163" s="4">
        <v>38</v>
      </c>
      <c r="L163" s="4"/>
      <c r="M163" s="1" t="s">
        <v>47</v>
      </c>
      <c r="N163" s="1" t="s">
        <v>48</v>
      </c>
      <c r="O163" s="1" t="s">
        <v>918</v>
      </c>
      <c r="Q163" s="1" t="s">
        <v>919</v>
      </c>
      <c r="R163" s="2">
        <v>55106</v>
      </c>
      <c r="S163" s="44">
        <v>44.962825000000002</v>
      </c>
      <c r="T163" s="45">
        <v>-93.072188999999995</v>
      </c>
      <c r="U163" s="1"/>
      <c r="V163" s="1"/>
      <c r="W163" s="1"/>
      <c r="X163" s="1"/>
      <c r="Y163" s="1"/>
      <c r="Z163" s="1"/>
      <c r="AA163" s="1"/>
      <c r="AB163" s="1"/>
      <c r="AC163" s="2" t="s">
        <v>51</v>
      </c>
      <c r="AD163" s="2">
        <f t="shared" si="2"/>
        <v>2018</v>
      </c>
    </row>
    <row r="164" spans="1:30" hidden="1">
      <c r="A164" s="1" t="s">
        <v>413</v>
      </c>
      <c r="B164" s="3">
        <v>43336</v>
      </c>
      <c r="C164" s="1" t="s">
        <v>920</v>
      </c>
      <c r="D164" s="1" t="s">
        <v>65</v>
      </c>
      <c r="E164" s="1" t="s">
        <v>66</v>
      </c>
      <c r="F164" s="1" t="s">
        <v>34</v>
      </c>
      <c r="G164" s="2" t="s">
        <v>921</v>
      </c>
      <c r="H164" s="1" t="s">
        <v>188</v>
      </c>
      <c r="I164" s="6"/>
      <c r="J164" s="4">
        <v>269</v>
      </c>
      <c r="L164" s="4"/>
      <c r="M164" s="1"/>
      <c r="N164" s="2" t="s">
        <v>610</v>
      </c>
      <c r="O164" s="1" t="s">
        <v>922</v>
      </c>
      <c r="Q164" s="1" t="s">
        <v>923</v>
      </c>
      <c r="R164" s="2">
        <v>55412</v>
      </c>
      <c r="S164" s="2">
        <v>45.023845999999999</v>
      </c>
      <c r="T164" s="2">
        <v>-93.280821000000003</v>
      </c>
      <c r="U164" s="1"/>
      <c r="V164" s="1"/>
      <c r="W164" s="1"/>
      <c r="X164" s="1"/>
      <c r="Y164" s="1" t="s">
        <v>924</v>
      </c>
      <c r="Z164" s="1" t="s">
        <v>65</v>
      </c>
      <c r="AA164" s="1" t="s">
        <v>34</v>
      </c>
      <c r="AB164" s="1"/>
      <c r="AC164" s="2" t="s">
        <v>51</v>
      </c>
      <c r="AD164" s="2">
        <f t="shared" si="2"/>
        <v>2018</v>
      </c>
    </row>
    <row r="165" spans="1:30" hidden="1">
      <c r="A165" s="1" t="s">
        <v>413</v>
      </c>
      <c r="B165" s="3">
        <v>43336</v>
      </c>
      <c r="C165" s="1" t="s">
        <v>925</v>
      </c>
      <c r="D165" s="1" t="s">
        <v>926</v>
      </c>
      <c r="E165" s="1" t="s">
        <v>74</v>
      </c>
      <c r="F165" s="1" t="s">
        <v>34</v>
      </c>
      <c r="G165" s="2" t="s">
        <v>927</v>
      </c>
      <c r="H165" s="1" t="s">
        <v>68</v>
      </c>
      <c r="I165" s="6">
        <v>1232098</v>
      </c>
      <c r="J165" s="4">
        <v>75</v>
      </c>
      <c r="L165" s="4"/>
      <c r="M165" s="1" t="s">
        <v>93</v>
      </c>
      <c r="N165" s="1" t="s">
        <v>48</v>
      </c>
      <c r="O165" s="1" t="s">
        <v>114</v>
      </c>
      <c r="Q165" s="1" t="s">
        <v>928</v>
      </c>
      <c r="R165" s="2">
        <v>55121</v>
      </c>
      <c r="S165" s="44">
        <v>44.845976</v>
      </c>
      <c r="T165" s="45">
        <v>-93.137975999999995</v>
      </c>
      <c r="U165" s="1" t="s">
        <v>60</v>
      </c>
      <c r="V165" s="1"/>
      <c r="W165" s="1"/>
      <c r="X165" s="1"/>
      <c r="Y165" s="1"/>
      <c r="Z165" s="1"/>
      <c r="AA165" s="1"/>
      <c r="AB165" s="1"/>
      <c r="AC165" s="2" t="s">
        <v>51</v>
      </c>
      <c r="AD165" s="2">
        <f t="shared" si="2"/>
        <v>2018</v>
      </c>
    </row>
    <row r="166" spans="1:30" hidden="1">
      <c r="A166" s="1" t="s">
        <v>413</v>
      </c>
      <c r="B166" s="3">
        <v>43337</v>
      </c>
      <c r="C166" s="1" t="s">
        <v>929</v>
      </c>
      <c r="D166" s="1" t="s">
        <v>528</v>
      </c>
      <c r="E166" s="1" t="s">
        <v>66</v>
      </c>
      <c r="F166" s="1" t="s">
        <v>34</v>
      </c>
      <c r="G166" s="2" t="s">
        <v>930</v>
      </c>
      <c r="H166" s="1" t="s">
        <v>48</v>
      </c>
      <c r="I166" s="9"/>
      <c r="J166" s="4"/>
      <c r="L166" s="4"/>
      <c r="M166" s="1" t="s">
        <v>450</v>
      </c>
      <c r="N166" s="1" t="s">
        <v>48</v>
      </c>
      <c r="O166" s="1" t="s">
        <v>931</v>
      </c>
      <c r="Q166" s="1" t="s">
        <v>932</v>
      </c>
      <c r="R166" s="2">
        <v>55425</v>
      </c>
      <c r="S166" s="44">
        <v>44.847811999999998</v>
      </c>
      <c r="T166" s="45">
        <v>-93.237697999999995</v>
      </c>
      <c r="U166" s="1"/>
      <c r="V166" s="1"/>
      <c r="W166" s="1"/>
      <c r="X166" s="1"/>
      <c r="Y166" s="1"/>
      <c r="Z166" s="1"/>
      <c r="AA166" s="1"/>
      <c r="AB166" s="1"/>
      <c r="AC166" s="2" t="s">
        <v>51</v>
      </c>
      <c r="AD166" s="2">
        <f t="shared" si="2"/>
        <v>2018</v>
      </c>
    </row>
    <row r="167" spans="1:30" hidden="1">
      <c r="A167" s="1" t="s">
        <v>413</v>
      </c>
      <c r="B167" s="3">
        <v>43340</v>
      </c>
      <c r="C167" s="1" t="s">
        <v>933</v>
      </c>
      <c r="D167" s="1" t="s">
        <v>111</v>
      </c>
      <c r="E167" s="1" t="s">
        <v>112</v>
      </c>
      <c r="F167" s="1" t="s">
        <v>34</v>
      </c>
      <c r="G167" s="2" t="s">
        <v>934</v>
      </c>
      <c r="H167" s="1" t="s">
        <v>56</v>
      </c>
      <c r="I167" s="6"/>
      <c r="J167" s="4"/>
      <c r="L167" s="4"/>
      <c r="M167" s="1" t="s">
        <v>167</v>
      </c>
      <c r="N167" s="1" t="s">
        <v>48</v>
      </c>
      <c r="O167" s="1" t="s">
        <v>935</v>
      </c>
      <c r="Q167" s="1" t="s">
        <v>936</v>
      </c>
      <c r="R167" s="2">
        <v>55901</v>
      </c>
      <c r="S167" s="44">
        <v>44.05189</v>
      </c>
      <c r="T167" s="45">
        <v>-92.523916999999997</v>
      </c>
      <c r="U167" s="1"/>
      <c r="V167" s="1"/>
      <c r="W167" s="1"/>
      <c r="X167" s="1"/>
      <c r="Y167" s="1"/>
      <c r="Z167" s="1"/>
      <c r="AA167" s="1"/>
      <c r="AB167" s="1"/>
      <c r="AC167" s="2" t="s">
        <v>120</v>
      </c>
      <c r="AD167" s="2">
        <f t="shared" si="2"/>
        <v>2018</v>
      </c>
    </row>
    <row r="168" spans="1:30" hidden="1">
      <c r="A168" s="1" t="s">
        <v>413</v>
      </c>
      <c r="B168" s="3">
        <v>43340</v>
      </c>
      <c r="C168" s="1" t="s">
        <v>937</v>
      </c>
      <c r="D168" s="1" t="s">
        <v>65</v>
      </c>
      <c r="E168" s="1" t="s">
        <v>66</v>
      </c>
      <c r="F168" s="1" t="s">
        <v>34</v>
      </c>
      <c r="G168" s="2" t="s">
        <v>938</v>
      </c>
      <c r="H168" s="1" t="s">
        <v>36</v>
      </c>
      <c r="I168" s="6">
        <v>14000000</v>
      </c>
      <c r="J168" s="4"/>
      <c r="L168" s="4">
        <v>38900</v>
      </c>
      <c r="M168" s="1"/>
      <c r="N168" s="1" t="s">
        <v>37</v>
      </c>
      <c r="O168" s="1"/>
      <c r="Q168" s="1" t="s">
        <v>939</v>
      </c>
      <c r="R168" s="2">
        <v>55408</v>
      </c>
      <c r="S168" s="44">
        <v>44.949010000000001</v>
      </c>
      <c r="T168" s="45">
        <v>-93.294441000000006</v>
      </c>
      <c r="U168" s="1"/>
      <c r="V168" s="1"/>
      <c r="W168" s="1"/>
      <c r="X168" s="1"/>
      <c r="Y168" s="1" t="s">
        <v>937</v>
      </c>
      <c r="Z168" s="1" t="s">
        <v>940</v>
      </c>
      <c r="AA168" s="1" t="s">
        <v>774</v>
      </c>
      <c r="AB168" s="1"/>
      <c r="AC168" s="2" t="s">
        <v>51</v>
      </c>
      <c r="AD168" s="2">
        <f t="shared" si="2"/>
        <v>2018</v>
      </c>
    </row>
    <row r="169" spans="1:30" hidden="1">
      <c r="A169" s="1" t="s">
        <v>413</v>
      </c>
      <c r="B169" s="3">
        <v>43340</v>
      </c>
      <c r="C169" s="1" t="s">
        <v>941</v>
      </c>
      <c r="D169" s="1" t="s">
        <v>96</v>
      </c>
      <c r="E169" s="1" t="s">
        <v>99</v>
      </c>
      <c r="F169" s="1" t="s">
        <v>34</v>
      </c>
      <c r="G169" s="2" t="s">
        <v>942</v>
      </c>
      <c r="H169" s="1" t="s">
        <v>199</v>
      </c>
      <c r="I169" s="6"/>
      <c r="J169" s="4"/>
      <c r="L169" s="4">
        <v>300000</v>
      </c>
      <c r="M169" s="1" t="s">
        <v>103</v>
      </c>
      <c r="N169" s="1" t="s">
        <v>86</v>
      </c>
      <c r="O169" s="1" t="s">
        <v>943</v>
      </c>
      <c r="Q169" s="1" t="s">
        <v>944</v>
      </c>
      <c r="R169" s="2">
        <v>55107</v>
      </c>
      <c r="S169" s="44">
        <v>44.942793999999999</v>
      </c>
      <c r="T169" s="45">
        <v>-93.078702000000007</v>
      </c>
      <c r="U169" s="1"/>
      <c r="V169" s="1"/>
      <c r="W169" s="1"/>
      <c r="X169" s="1"/>
      <c r="Y169" s="1"/>
      <c r="Z169" s="1"/>
      <c r="AA169" s="1"/>
      <c r="AB169" s="1"/>
      <c r="AC169" s="2" t="s">
        <v>51</v>
      </c>
      <c r="AD169" s="2">
        <f t="shared" si="2"/>
        <v>2018</v>
      </c>
    </row>
    <row r="170" spans="1:30" hidden="1">
      <c r="A170" s="1" t="s">
        <v>945</v>
      </c>
      <c r="B170" s="3">
        <v>43347</v>
      </c>
      <c r="C170" s="1" t="s">
        <v>946</v>
      </c>
      <c r="D170" s="1" t="s">
        <v>591</v>
      </c>
      <c r="E170" s="1" t="s">
        <v>66</v>
      </c>
      <c r="F170" s="1" t="s">
        <v>34</v>
      </c>
      <c r="G170" s="2" t="s">
        <v>947</v>
      </c>
      <c r="H170" s="1" t="s">
        <v>68</v>
      </c>
      <c r="I170" s="6">
        <v>9250000</v>
      </c>
      <c r="J170" s="4">
        <v>75</v>
      </c>
      <c r="L170" s="4"/>
      <c r="M170" s="2" t="s">
        <v>240</v>
      </c>
      <c r="N170" s="2" t="s">
        <v>241</v>
      </c>
      <c r="O170" s="1" t="s">
        <v>948</v>
      </c>
      <c r="Q170" s="1" t="s">
        <v>949</v>
      </c>
      <c r="R170" s="2">
        <v>55305</v>
      </c>
      <c r="S170" s="2">
        <v>44.972599000000002</v>
      </c>
      <c r="T170" s="2">
        <v>-93.4657974</v>
      </c>
      <c r="U170" s="1"/>
      <c r="V170" s="1"/>
      <c r="W170" s="1"/>
      <c r="X170" s="1"/>
      <c r="Y170" s="1"/>
      <c r="Z170" s="1"/>
      <c r="AA170" s="1"/>
      <c r="AB170" s="1"/>
      <c r="AC170" s="2" t="s">
        <v>51</v>
      </c>
      <c r="AD170" s="2">
        <f t="shared" si="2"/>
        <v>2018</v>
      </c>
    </row>
    <row r="171" spans="1:30" hidden="1">
      <c r="A171" s="2" t="s">
        <v>413</v>
      </c>
      <c r="B171" s="3">
        <v>43348</v>
      </c>
      <c r="C171" s="1" t="s">
        <v>950</v>
      </c>
      <c r="D171" s="1" t="s">
        <v>951</v>
      </c>
      <c r="E171" s="1" t="s">
        <v>952</v>
      </c>
      <c r="F171" s="1" t="s">
        <v>34</v>
      </c>
      <c r="G171" s="2" t="s">
        <v>953</v>
      </c>
      <c r="H171" s="1" t="s">
        <v>48</v>
      </c>
      <c r="I171" s="6"/>
      <c r="J171" s="4">
        <v>3</v>
      </c>
      <c r="K171" s="2">
        <v>82</v>
      </c>
      <c r="L171" s="4"/>
      <c r="M171" s="1" t="s">
        <v>47</v>
      </c>
      <c r="N171" s="1" t="s">
        <v>48</v>
      </c>
      <c r="O171" s="1" t="s">
        <v>954</v>
      </c>
      <c r="Q171" s="1" t="s">
        <v>955</v>
      </c>
      <c r="R171" s="2">
        <v>56362</v>
      </c>
      <c r="S171" s="2">
        <v>45.382999400000003</v>
      </c>
      <c r="T171" s="2">
        <v>-94.714897199999996</v>
      </c>
      <c r="U171" s="1" t="s">
        <v>60</v>
      </c>
      <c r="V171" s="1"/>
      <c r="W171" s="1"/>
      <c r="X171" s="1"/>
      <c r="Y171" s="1" t="s">
        <v>950</v>
      </c>
      <c r="Z171" s="1" t="s">
        <v>956</v>
      </c>
      <c r="AA171" s="1" t="s">
        <v>34</v>
      </c>
      <c r="AB171" s="1"/>
      <c r="AC171" s="2" t="s">
        <v>41</v>
      </c>
      <c r="AD171" s="2">
        <f t="shared" si="2"/>
        <v>2018</v>
      </c>
    </row>
    <row r="172" spans="1:30" hidden="1">
      <c r="A172" s="1" t="s">
        <v>413</v>
      </c>
      <c r="B172" s="3">
        <v>43349</v>
      </c>
      <c r="C172" s="1" t="s">
        <v>957</v>
      </c>
      <c r="D172" s="1" t="s">
        <v>65</v>
      </c>
      <c r="E172" s="1" t="s">
        <v>66</v>
      </c>
      <c r="F172" s="1" t="s">
        <v>34</v>
      </c>
      <c r="G172" s="2" t="s">
        <v>958</v>
      </c>
      <c r="H172" s="1" t="s">
        <v>101</v>
      </c>
      <c r="I172" s="6"/>
      <c r="J172" s="4">
        <v>7</v>
      </c>
      <c r="L172" s="4"/>
      <c r="M172" s="1"/>
      <c r="N172" s="2" t="s">
        <v>69</v>
      </c>
      <c r="O172" s="1" t="s">
        <v>959</v>
      </c>
      <c r="Q172" s="1" t="s">
        <v>114</v>
      </c>
      <c r="R172" s="2">
        <v>55401</v>
      </c>
      <c r="S172" s="44">
        <v>44.984577000000002</v>
      </c>
      <c r="T172" s="45">
        <v>-93.269097000000002</v>
      </c>
      <c r="U172" s="1"/>
      <c r="V172" s="1"/>
      <c r="W172" s="1"/>
      <c r="X172" s="1"/>
      <c r="Y172" s="1" t="s">
        <v>957</v>
      </c>
      <c r="Z172" s="1" t="s">
        <v>960</v>
      </c>
      <c r="AA172" s="1" t="s">
        <v>961</v>
      </c>
      <c r="AB172" s="1"/>
      <c r="AC172" s="2" t="s">
        <v>51</v>
      </c>
      <c r="AD172" s="2">
        <f t="shared" si="2"/>
        <v>2018</v>
      </c>
    </row>
    <row r="173" spans="1:30" hidden="1">
      <c r="A173" s="1" t="s">
        <v>413</v>
      </c>
      <c r="B173" s="3">
        <v>43353</v>
      </c>
      <c r="C173" s="1" t="s">
        <v>962</v>
      </c>
      <c r="D173" s="1" t="s">
        <v>96</v>
      </c>
      <c r="E173" s="1" t="s">
        <v>99</v>
      </c>
      <c r="F173" s="1" t="s">
        <v>34</v>
      </c>
      <c r="G173" s="2" t="s">
        <v>963</v>
      </c>
      <c r="H173" s="1" t="s">
        <v>68</v>
      </c>
      <c r="I173" s="6"/>
      <c r="J173" s="4">
        <v>89</v>
      </c>
      <c r="K173" s="2">
        <v>287</v>
      </c>
      <c r="L173" s="4">
        <v>125000</v>
      </c>
      <c r="M173" s="1" t="s">
        <v>167</v>
      </c>
      <c r="N173" s="1" t="s">
        <v>48</v>
      </c>
      <c r="O173" s="1" t="s">
        <v>964</v>
      </c>
      <c r="P173" s="2" t="s">
        <v>965</v>
      </c>
      <c r="Q173" s="1" t="s">
        <v>966</v>
      </c>
      <c r="R173" s="2">
        <v>55108</v>
      </c>
      <c r="S173" s="2">
        <v>44.9712982</v>
      </c>
      <c r="T173" s="2">
        <v>-93.171402</v>
      </c>
      <c r="U173" s="1" t="s">
        <v>60</v>
      </c>
      <c r="V173" s="1" t="s">
        <v>967</v>
      </c>
      <c r="W173" s="1" t="s">
        <v>968</v>
      </c>
      <c r="X173" s="1"/>
      <c r="Y173" s="1"/>
      <c r="Z173" s="1"/>
      <c r="AA173" s="1"/>
      <c r="AB173" s="1"/>
      <c r="AC173" s="2" t="s">
        <v>51</v>
      </c>
      <c r="AD173" s="2">
        <f t="shared" si="2"/>
        <v>2018</v>
      </c>
    </row>
    <row r="174" spans="1:30" hidden="1">
      <c r="A174" s="1" t="s">
        <v>413</v>
      </c>
      <c r="B174" s="3">
        <v>43354</v>
      </c>
      <c r="C174" s="1" t="s">
        <v>969</v>
      </c>
      <c r="D174" s="1" t="s">
        <v>174</v>
      </c>
      <c r="E174" s="1" t="s">
        <v>66</v>
      </c>
      <c r="F174" s="1" t="s">
        <v>34</v>
      </c>
      <c r="G174" s="2" t="s">
        <v>970</v>
      </c>
      <c r="H174" s="1" t="s">
        <v>272</v>
      </c>
      <c r="I174" s="6"/>
      <c r="J174" s="4">
        <v>10</v>
      </c>
      <c r="L174" s="4"/>
      <c r="M174" s="1" t="s">
        <v>167</v>
      </c>
      <c r="N174" s="1" t="s">
        <v>48</v>
      </c>
      <c r="O174" s="1" t="s">
        <v>971</v>
      </c>
      <c r="Q174" s="1" t="s">
        <v>972</v>
      </c>
      <c r="R174" s="2">
        <v>55428</v>
      </c>
      <c r="S174" s="44">
        <v>45.091639999999998</v>
      </c>
      <c r="T174" s="45">
        <v>-93.391349000000005</v>
      </c>
      <c r="U174" s="1"/>
      <c r="V174" s="1"/>
      <c r="W174" s="1"/>
      <c r="X174" s="1"/>
      <c r="Y174" s="1"/>
      <c r="Z174" s="1"/>
      <c r="AA174" s="1"/>
      <c r="AB174" s="1"/>
      <c r="AC174" s="2" t="s">
        <v>51</v>
      </c>
      <c r="AD174" s="2">
        <f t="shared" si="2"/>
        <v>2018</v>
      </c>
    </row>
    <row r="175" spans="1:30" hidden="1">
      <c r="A175" s="1" t="s">
        <v>413</v>
      </c>
      <c r="B175" s="3">
        <v>43354</v>
      </c>
      <c r="C175" s="1" t="s">
        <v>973</v>
      </c>
      <c r="D175" s="1" t="s">
        <v>974</v>
      </c>
      <c r="E175" s="1" t="s">
        <v>91</v>
      </c>
      <c r="F175" s="1" t="s">
        <v>34</v>
      </c>
      <c r="G175" s="2" t="s">
        <v>975</v>
      </c>
      <c r="H175" s="1" t="s">
        <v>46</v>
      </c>
      <c r="I175" s="6">
        <v>1800000</v>
      </c>
      <c r="J175" s="4"/>
      <c r="L175" s="4">
        <v>9000</v>
      </c>
      <c r="M175" s="1" t="s">
        <v>93</v>
      </c>
      <c r="N175" s="1" t="s">
        <v>48</v>
      </c>
      <c r="O175" s="1" t="s">
        <v>976</v>
      </c>
      <c r="P175" s="1"/>
      <c r="Q175" s="1" t="s">
        <v>977</v>
      </c>
      <c r="R175" s="2">
        <v>55790</v>
      </c>
      <c r="S175" s="44">
        <v>47.803114999999998</v>
      </c>
      <c r="T175" s="45">
        <v>-92.275683000000001</v>
      </c>
      <c r="U175" s="1" t="s">
        <v>60</v>
      </c>
      <c r="V175" s="1"/>
      <c r="W175" s="1"/>
      <c r="X175" s="1"/>
      <c r="Y175" s="1"/>
      <c r="Z175" s="1"/>
      <c r="AA175" s="1"/>
      <c r="AB175" s="1"/>
      <c r="AC175" s="1" t="s">
        <v>97</v>
      </c>
      <c r="AD175" s="2">
        <f t="shared" si="2"/>
        <v>2018</v>
      </c>
    </row>
    <row r="176" spans="1:30" hidden="1">
      <c r="A176" s="1" t="s">
        <v>413</v>
      </c>
      <c r="B176" s="3">
        <v>43357</v>
      </c>
      <c r="C176" s="1" t="s">
        <v>978</v>
      </c>
      <c r="D176" s="1" t="s">
        <v>448</v>
      </c>
      <c r="E176" s="1" t="s">
        <v>66</v>
      </c>
      <c r="F176" s="1" t="s">
        <v>34</v>
      </c>
      <c r="G176" s="2" t="s">
        <v>979</v>
      </c>
      <c r="H176" s="1" t="s">
        <v>68</v>
      </c>
      <c r="I176" s="6"/>
      <c r="J176" s="4"/>
      <c r="L176" s="4"/>
      <c r="M176" s="1" t="s">
        <v>47</v>
      </c>
      <c r="N176" s="1" t="s">
        <v>48</v>
      </c>
      <c r="O176" s="1" t="s">
        <v>980</v>
      </c>
      <c r="Q176" s="1" t="s">
        <v>981</v>
      </c>
      <c r="R176" s="2">
        <v>55344</v>
      </c>
      <c r="S176" s="44">
        <v>44.867426000000002</v>
      </c>
      <c r="T176" s="45">
        <v>-93.415473000000006</v>
      </c>
      <c r="U176" s="1"/>
      <c r="V176" s="1"/>
      <c r="W176" s="1"/>
      <c r="X176" s="1"/>
      <c r="Y176" s="1"/>
      <c r="Z176" s="1"/>
      <c r="AA176" s="1"/>
      <c r="AB176" s="1"/>
      <c r="AC176" s="2" t="s">
        <v>51</v>
      </c>
      <c r="AD176" s="2">
        <f t="shared" si="2"/>
        <v>2018</v>
      </c>
    </row>
    <row r="177" spans="1:30" hidden="1">
      <c r="A177" s="1" t="s">
        <v>413</v>
      </c>
      <c r="B177" s="3">
        <v>43362</v>
      </c>
      <c r="C177" s="1" t="s">
        <v>982</v>
      </c>
      <c r="D177" s="1" t="s">
        <v>544</v>
      </c>
      <c r="E177" s="1" t="s">
        <v>66</v>
      </c>
      <c r="F177" s="1" t="s">
        <v>34</v>
      </c>
      <c r="G177" s="2" t="s">
        <v>983</v>
      </c>
      <c r="H177" s="1" t="s">
        <v>248</v>
      </c>
      <c r="I177" s="6"/>
      <c r="J177" s="4"/>
      <c r="L177" s="4">
        <v>28000</v>
      </c>
      <c r="M177" s="1"/>
      <c r="N177" s="2" t="s">
        <v>69</v>
      </c>
      <c r="O177" s="1"/>
      <c r="Q177" s="1" t="s">
        <v>984</v>
      </c>
      <c r="R177" s="2">
        <v>55416</v>
      </c>
      <c r="S177" s="44">
        <v>44.966161999999997</v>
      </c>
      <c r="T177" s="45">
        <v>-93.345726999999997</v>
      </c>
      <c r="U177" s="1"/>
      <c r="V177" s="1"/>
      <c r="W177" s="1"/>
      <c r="X177" s="1"/>
      <c r="Y177" s="1" t="s">
        <v>985</v>
      </c>
      <c r="Z177" s="1" t="s">
        <v>986</v>
      </c>
      <c r="AA177" s="1" t="s">
        <v>34</v>
      </c>
      <c r="AB177" s="1"/>
      <c r="AC177" s="2" t="s">
        <v>51</v>
      </c>
      <c r="AD177" s="2">
        <f t="shared" si="2"/>
        <v>2018</v>
      </c>
    </row>
    <row r="178" spans="1:30" hidden="1">
      <c r="A178" s="1" t="s">
        <v>413</v>
      </c>
      <c r="B178" s="3">
        <v>43363</v>
      </c>
      <c r="C178" s="1" t="s">
        <v>987</v>
      </c>
      <c r="D178" s="1" t="s">
        <v>65</v>
      </c>
      <c r="E178" s="1" t="s">
        <v>66</v>
      </c>
      <c r="F178" s="1" t="s">
        <v>34</v>
      </c>
      <c r="G178" s="2" t="s">
        <v>988</v>
      </c>
      <c r="H178" s="1" t="s">
        <v>101</v>
      </c>
      <c r="I178" s="6"/>
      <c r="J178" s="4"/>
      <c r="L178" s="4"/>
      <c r="M178" s="1"/>
      <c r="N178" s="1" t="s">
        <v>140</v>
      </c>
      <c r="O178" s="1" t="s">
        <v>989</v>
      </c>
      <c r="Q178" s="1" t="s">
        <v>990</v>
      </c>
      <c r="R178" s="2">
        <v>55402</v>
      </c>
      <c r="S178" s="44">
        <v>44.975459999999998</v>
      </c>
      <c r="T178" s="45">
        <v>-93.272667999999996</v>
      </c>
      <c r="U178" s="1"/>
      <c r="V178" s="1"/>
      <c r="W178" s="1"/>
      <c r="X178" s="1"/>
      <c r="Y178" s="1" t="s">
        <v>987</v>
      </c>
      <c r="Z178" s="1" t="s">
        <v>991</v>
      </c>
      <c r="AA178" s="1" t="s">
        <v>992</v>
      </c>
      <c r="AB178" s="1"/>
      <c r="AC178" s="2" t="s">
        <v>51</v>
      </c>
      <c r="AD178" s="2">
        <f t="shared" si="2"/>
        <v>2018</v>
      </c>
    </row>
    <row r="179" spans="1:30" hidden="1">
      <c r="A179" s="1" t="s">
        <v>413</v>
      </c>
      <c r="B179" s="3">
        <v>43364</v>
      </c>
      <c r="C179" s="1" t="s">
        <v>993</v>
      </c>
      <c r="D179" s="1" t="s">
        <v>625</v>
      </c>
      <c r="E179" s="1" t="s">
        <v>182</v>
      </c>
      <c r="F179" s="1" t="s">
        <v>34</v>
      </c>
      <c r="G179" s="2" t="s">
        <v>994</v>
      </c>
      <c r="H179" s="1" t="s">
        <v>48</v>
      </c>
      <c r="I179" s="6">
        <v>10500000</v>
      </c>
      <c r="J179" s="4">
        <v>50</v>
      </c>
      <c r="L179" s="4">
        <v>85000</v>
      </c>
      <c r="M179" s="1" t="s">
        <v>93</v>
      </c>
      <c r="N179" s="1" t="s">
        <v>48</v>
      </c>
      <c r="O179" s="1"/>
      <c r="Q179" s="1"/>
      <c r="R179" s="2">
        <v>56003</v>
      </c>
      <c r="S179" s="44">
        <v>44.173299999999998</v>
      </c>
      <c r="T179" s="45">
        <v>-94.033844999999999</v>
      </c>
      <c r="U179" s="1"/>
      <c r="V179" s="1"/>
      <c r="W179" s="1"/>
      <c r="X179" s="1"/>
      <c r="Y179" s="1" t="s">
        <v>993</v>
      </c>
      <c r="Z179" s="1" t="s">
        <v>995</v>
      </c>
      <c r="AA179" s="1" t="s">
        <v>34</v>
      </c>
      <c r="AB179" s="1"/>
      <c r="AC179" s="2" t="s">
        <v>120</v>
      </c>
      <c r="AD179" s="2">
        <f t="shared" si="2"/>
        <v>2018</v>
      </c>
    </row>
    <row r="180" spans="1:30" hidden="1">
      <c r="A180" s="1" t="s">
        <v>413</v>
      </c>
      <c r="B180" s="3">
        <v>43370</v>
      </c>
      <c r="C180" s="1" t="s">
        <v>996</v>
      </c>
      <c r="D180" s="1" t="s">
        <v>96</v>
      </c>
      <c r="E180" s="1" t="s">
        <v>99</v>
      </c>
      <c r="F180" s="1" t="s">
        <v>34</v>
      </c>
      <c r="G180" s="2" t="s">
        <v>997</v>
      </c>
      <c r="H180" s="1" t="s">
        <v>188</v>
      </c>
      <c r="I180" s="6"/>
      <c r="J180" s="4">
        <v>48</v>
      </c>
      <c r="L180" s="4"/>
      <c r="M180" s="1" t="s">
        <v>102</v>
      </c>
      <c r="N180" s="1" t="s">
        <v>103</v>
      </c>
      <c r="O180" s="1" t="s">
        <v>998</v>
      </c>
      <c r="Q180" s="1" t="s">
        <v>999</v>
      </c>
      <c r="R180" s="2">
        <v>55104</v>
      </c>
      <c r="S180" s="44">
        <v>44.961719000000002</v>
      </c>
      <c r="T180" s="45">
        <v>-93.181894</v>
      </c>
      <c r="U180" s="1" t="s">
        <v>60</v>
      </c>
      <c r="V180" s="1"/>
      <c r="W180" s="1"/>
      <c r="X180" s="1"/>
      <c r="Y180" s="1"/>
      <c r="Z180" s="1"/>
      <c r="AA180" s="1"/>
      <c r="AB180" s="1"/>
      <c r="AC180" s="2" t="s">
        <v>51</v>
      </c>
      <c r="AD180" s="2">
        <f t="shared" si="2"/>
        <v>2018</v>
      </c>
    </row>
    <row r="181" spans="1:30" hidden="1">
      <c r="A181" s="1" t="s">
        <v>945</v>
      </c>
      <c r="B181" s="3">
        <v>43376</v>
      </c>
      <c r="C181" s="1" t="s">
        <v>1000</v>
      </c>
      <c r="D181" s="1" t="s">
        <v>1001</v>
      </c>
      <c r="E181" s="1" t="s">
        <v>677</v>
      </c>
      <c r="F181" s="1" t="s">
        <v>34</v>
      </c>
      <c r="G181" s="2" t="s">
        <v>1002</v>
      </c>
      <c r="H181" s="1" t="s">
        <v>1003</v>
      </c>
      <c r="I181" s="6">
        <v>7009676</v>
      </c>
      <c r="J181" s="4">
        <v>60</v>
      </c>
      <c r="L181" s="4"/>
      <c r="M181" s="1"/>
      <c r="N181" s="1" t="s">
        <v>1004</v>
      </c>
      <c r="O181" s="1" t="s">
        <v>1005</v>
      </c>
      <c r="Q181" s="1" t="s">
        <v>1006</v>
      </c>
      <c r="R181" s="2">
        <v>55014</v>
      </c>
      <c r="S181" s="151">
        <v>45.2652</v>
      </c>
      <c r="T181" s="152">
        <v>-93.050200000000004</v>
      </c>
      <c r="U181" s="1" t="s">
        <v>60</v>
      </c>
      <c r="V181" s="1"/>
      <c r="W181" s="1"/>
      <c r="X181" s="1"/>
      <c r="Y181" s="1" t="s">
        <v>1000</v>
      </c>
      <c r="Z181" s="1" t="s">
        <v>1007</v>
      </c>
      <c r="AA181" s="1" t="s">
        <v>34</v>
      </c>
      <c r="AB181" s="1"/>
      <c r="AC181" s="2" t="s">
        <v>51</v>
      </c>
      <c r="AD181" s="2">
        <f t="shared" si="2"/>
        <v>2018</v>
      </c>
    </row>
    <row r="182" spans="1:30" hidden="1">
      <c r="A182" s="1" t="s">
        <v>945</v>
      </c>
      <c r="B182" s="3">
        <v>43376</v>
      </c>
      <c r="C182" s="1" t="s">
        <v>1008</v>
      </c>
      <c r="D182" s="1" t="s">
        <v>65</v>
      </c>
      <c r="E182" s="1" t="s">
        <v>66</v>
      </c>
      <c r="F182" s="1" t="s">
        <v>34</v>
      </c>
      <c r="G182" s="2" t="s">
        <v>1009</v>
      </c>
      <c r="H182" s="1"/>
      <c r="I182" s="6"/>
      <c r="J182" s="4"/>
      <c r="L182" s="4"/>
      <c r="M182" s="1" t="s">
        <v>85</v>
      </c>
      <c r="N182" s="1" t="s">
        <v>86</v>
      </c>
      <c r="O182" s="1" t="s">
        <v>1010</v>
      </c>
      <c r="Q182" s="1" t="s">
        <v>1011</v>
      </c>
      <c r="R182" s="2">
        <v>55401</v>
      </c>
      <c r="S182" s="44">
        <v>44.989386000000003</v>
      </c>
      <c r="T182" s="45">
        <v>-93.278626000000003</v>
      </c>
      <c r="U182" s="1"/>
      <c r="V182" s="1"/>
      <c r="W182" s="1"/>
      <c r="X182" s="1"/>
      <c r="Y182" s="1"/>
      <c r="Z182" s="1"/>
      <c r="AA182" s="1"/>
      <c r="AB182" s="1"/>
      <c r="AC182" s="2" t="s">
        <v>51</v>
      </c>
      <c r="AD182" s="2">
        <f t="shared" si="2"/>
        <v>2018</v>
      </c>
    </row>
    <row r="183" spans="1:30" hidden="1">
      <c r="A183" s="1" t="s">
        <v>945</v>
      </c>
      <c r="B183" s="3">
        <v>43377</v>
      </c>
      <c r="C183" s="1" t="s">
        <v>1012</v>
      </c>
      <c r="D183" s="1" t="s">
        <v>956</v>
      </c>
      <c r="E183" s="1" t="s">
        <v>1013</v>
      </c>
      <c r="F183" s="1" t="s">
        <v>34</v>
      </c>
      <c r="G183" s="2" t="s">
        <v>1014</v>
      </c>
      <c r="H183" s="1"/>
      <c r="I183" s="6"/>
      <c r="J183" s="4"/>
      <c r="L183" s="4"/>
      <c r="M183" s="1" t="s">
        <v>356</v>
      </c>
      <c r="N183" s="1" t="s">
        <v>48</v>
      </c>
      <c r="O183" s="1" t="s">
        <v>1015</v>
      </c>
      <c r="Q183" s="1" t="s">
        <v>1016</v>
      </c>
      <c r="R183" s="2">
        <v>56073</v>
      </c>
      <c r="S183" s="44">
        <v>44.329977</v>
      </c>
      <c r="T183" s="45">
        <v>-94.474952000000002</v>
      </c>
      <c r="U183" s="1"/>
      <c r="V183" s="1"/>
      <c r="W183" s="1"/>
      <c r="X183" s="1"/>
      <c r="Y183" s="1" t="s">
        <v>1017</v>
      </c>
      <c r="Z183" s="1" t="s">
        <v>408</v>
      </c>
      <c r="AA183" s="1" t="s">
        <v>34</v>
      </c>
      <c r="AB183" s="1"/>
      <c r="AC183" s="2" t="s">
        <v>120</v>
      </c>
      <c r="AD183" s="2">
        <f t="shared" si="2"/>
        <v>2018</v>
      </c>
    </row>
    <row r="184" spans="1:30" hidden="1">
      <c r="A184" s="1" t="s">
        <v>945</v>
      </c>
      <c r="B184" s="3">
        <v>43382</v>
      </c>
      <c r="C184" s="1" t="s">
        <v>1018</v>
      </c>
      <c r="D184" s="1" t="s">
        <v>65</v>
      </c>
      <c r="E184" s="1" t="s">
        <v>66</v>
      </c>
      <c r="F184" s="1" t="s">
        <v>34</v>
      </c>
      <c r="G184" s="2" t="s">
        <v>1019</v>
      </c>
      <c r="H184" s="1"/>
      <c r="I184" s="9"/>
      <c r="J184" s="4"/>
      <c r="L184" s="4"/>
      <c r="M184" s="1" t="s">
        <v>85</v>
      </c>
      <c r="N184" s="1" t="s">
        <v>86</v>
      </c>
      <c r="O184" s="1" t="s">
        <v>1020</v>
      </c>
      <c r="Q184" s="1" t="s">
        <v>1021</v>
      </c>
      <c r="R184" s="2">
        <v>55401</v>
      </c>
      <c r="S184" s="44">
        <v>44.981299</v>
      </c>
      <c r="T184" s="45">
        <v>-93.273304999999993</v>
      </c>
      <c r="U184" s="1"/>
      <c r="V184" s="1"/>
      <c r="W184" s="1"/>
      <c r="X184" s="1"/>
      <c r="Y184" s="1"/>
      <c r="Z184" s="1"/>
      <c r="AA184" s="1"/>
      <c r="AB184" s="1"/>
      <c r="AC184" s="2" t="s">
        <v>51</v>
      </c>
      <c r="AD184" s="2">
        <f t="shared" si="2"/>
        <v>2018</v>
      </c>
    </row>
    <row r="185" spans="1:30" hidden="1">
      <c r="A185" s="42" t="s">
        <v>945</v>
      </c>
      <c r="B185" s="42">
        <v>43382</v>
      </c>
      <c r="C185" s="2" t="s">
        <v>1022</v>
      </c>
      <c r="D185" s="2" t="s">
        <v>165</v>
      </c>
      <c r="E185" s="2" t="s">
        <v>66</v>
      </c>
      <c r="F185" s="1" t="s">
        <v>34</v>
      </c>
      <c r="G185" s="2" t="s">
        <v>1023</v>
      </c>
      <c r="H185" s="2" t="s">
        <v>1024</v>
      </c>
      <c r="I185" s="11"/>
      <c r="L185" s="5">
        <v>15000</v>
      </c>
      <c r="M185" s="2" t="s">
        <v>167</v>
      </c>
      <c r="N185" s="2" t="s">
        <v>48</v>
      </c>
      <c r="O185" s="2" t="s">
        <v>1025</v>
      </c>
      <c r="Q185" s="2" t="s">
        <v>1026</v>
      </c>
      <c r="R185" s="2">
        <v>55369</v>
      </c>
      <c r="S185" s="2">
        <v>45.129502000000002</v>
      </c>
      <c r="T185" s="2">
        <v>-93.427948999999998</v>
      </c>
      <c r="AC185" s="2" t="s">
        <v>51</v>
      </c>
      <c r="AD185" s="2">
        <f t="shared" si="2"/>
        <v>2018</v>
      </c>
    </row>
    <row r="186" spans="1:30" hidden="1">
      <c r="A186" s="1" t="s">
        <v>945</v>
      </c>
      <c r="B186" s="3">
        <v>43383</v>
      </c>
      <c r="C186" s="1" t="s">
        <v>442</v>
      </c>
      <c r="D186" s="1" t="s">
        <v>174</v>
      </c>
      <c r="E186" s="1" t="s">
        <v>66</v>
      </c>
      <c r="F186" s="1" t="s">
        <v>34</v>
      </c>
      <c r="G186" s="2" t="s">
        <v>1027</v>
      </c>
      <c r="H186" s="1" t="s">
        <v>1028</v>
      </c>
      <c r="I186" s="6">
        <v>14800000</v>
      </c>
      <c r="J186" s="4">
        <v>450</v>
      </c>
      <c r="L186" s="4">
        <v>383000</v>
      </c>
      <c r="M186" s="1"/>
      <c r="N186" s="1" t="s">
        <v>253</v>
      </c>
      <c r="O186" s="1" t="s">
        <v>1029</v>
      </c>
      <c r="Q186" s="1" t="s">
        <v>1030</v>
      </c>
      <c r="R186" s="2">
        <v>55429</v>
      </c>
      <c r="S186" s="44">
        <v>45.063552000000001</v>
      </c>
      <c r="T186" s="45">
        <v>-93.341097000000005</v>
      </c>
      <c r="U186" s="1"/>
      <c r="V186" s="1"/>
      <c r="W186" s="1"/>
      <c r="X186" s="1"/>
      <c r="Y186" s="1" t="s">
        <v>442</v>
      </c>
      <c r="Z186" s="1" t="s">
        <v>446</v>
      </c>
      <c r="AA186" s="1" t="s">
        <v>328</v>
      </c>
      <c r="AB186" s="1"/>
      <c r="AC186" s="2" t="s">
        <v>51</v>
      </c>
      <c r="AD186" s="2">
        <f t="shared" si="2"/>
        <v>2018</v>
      </c>
    </row>
    <row r="187" spans="1:30" hidden="1">
      <c r="A187" s="1" t="s">
        <v>945</v>
      </c>
      <c r="B187" s="3">
        <v>43383</v>
      </c>
      <c r="C187" s="1" t="s">
        <v>1031</v>
      </c>
      <c r="D187" s="1" t="s">
        <v>65</v>
      </c>
      <c r="E187" s="1" t="s">
        <v>66</v>
      </c>
      <c r="F187" s="1" t="s">
        <v>34</v>
      </c>
      <c r="G187" s="2" t="s">
        <v>1032</v>
      </c>
      <c r="H187" s="1"/>
      <c r="I187" s="6"/>
      <c r="J187" s="4">
        <v>14</v>
      </c>
      <c r="L187" s="4"/>
      <c r="M187" s="1" t="s">
        <v>167</v>
      </c>
      <c r="N187" s="1" t="s">
        <v>48</v>
      </c>
      <c r="O187" s="1" t="s">
        <v>1033</v>
      </c>
      <c r="Q187" s="1" t="s">
        <v>1034</v>
      </c>
      <c r="R187" s="2">
        <v>55401</v>
      </c>
      <c r="S187" s="44">
        <v>44.985335999999997</v>
      </c>
      <c r="T187" s="45">
        <v>-93.272327000000004</v>
      </c>
      <c r="U187" s="1" t="s">
        <v>143</v>
      </c>
      <c r="V187" s="1"/>
      <c r="W187" s="1"/>
      <c r="X187" s="1"/>
      <c r="Y187" s="1"/>
      <c r="Z187" s="1"/>
      <c r="AA187" s="1"/>
      <c r="AB187" s="1"/>
      <c r="AC187" s="2" t="s">
        <v>51</v>
      </c>
      <c r="AD187" s="2">
        <f t="shared" si="2"/>
        <v>2018</v>
      </c>
    </row>
    <row r="188" spans="1:30" hidden="1">
      <c r="A188" s="1" t="s">
        <v>945</v>
      </c>
      <c r="B188" s="3">
        <v>43384</v>
      </c>
      <c r="C188" s="1" t="s">
        <v>1035</v>
      </c>
      <c r="D188" s="1" t="s">
        <v>372</v>
      </c>
      <c r="E188" s="1" t="s">
        <v>373</v>
      </c>
      <c r="F188" s="1" t="s">
        <v>34</v>
      </c>
      <c r="G188" s="2" t="s">
        <v>1036</v>
      </c>
      <c r="H188" s="1" t="s">
        <v>101</v>
      </c>
      <c r="I188" s="6"/>
      <c r="J188" s="4"/>
      <c r="L188" s="4"/>
      <c r="M188" s="1"/>
      <c r="N188" s="1" t="s">
        <v>140</v>
      </c>
      <c r="O188" s="1" t="s">
        <v>1037</v>
      </c>
      <c r="Q188" s="1" t="s">
        <v>1038</v>
      </c>
      <c r="R188" s="2">
        <v>56001</v>
      </c>
      <c r="S188" s="44">
        <v>44.176811000000001</v>
      </c>
      <c r="T188" s="45">
        <v>-93.943257000000003</v>
      </c>
      <c r="U188" s="1"/>
      <c r="V188" s="1"/>
      <c r="W188" s="1"/>
      <c r="X188" s="1"/>
      <c r="Y188" s="1"/>
      <c r="Z188" s="1"/>
      <c r="AA188" s="1"/>
      <c r="AB188" s="1"/>
      <c r="AC188" s="2" t="s">
        <v>120</v>
      </c>
      <c r="AD188" s="2">
        <f t="shared" si="2"/>
        <v>2018</v>
      </c>
    </row>
    <row r="189" spans="1:30" hidden="1">
      <c r="A189" s="1" t="s">
        <v>945</v>
      </c>
      <c r="B189" s="3">
        <v>43384</v>
      </c>
      <c r="C189" s="1" t="s">
        <v>523</v>
      </c>
      <c r="D189" s="1" t="s">
        <v>96</v>
      </c>
      <c r="E189" s="1" t="s">
        <v>99</v>
      </c>
      <c r="F189" s="1" t="s">
        <v>34</v>
      </c>
      <c r="G189" s="2" t="s">
        <v>1039</v>
      </c>
      <c r="H189" s="1" t="s">
        <v>36</v>
      </c>
      <c r="I189" s="6">
        <v>75500000</v>
      </c>
      <c r="J189" s="4"/>
      <c r="L189" s="4">
        <v>160000</v>
      </c>
      <c r="M189" s="1"/>
      <c r="N189" s="1" t="s">
        <v>37</v>
      </c>
      <c r="O189" s="1" t="s">
        <v>1040</v>
      </c>
      <c r="Q189" s="1" t="s">
        <v>526</v>
      </c>
      <c r="R189" s="2">
        <v>55101</v>
      </c>
      <c r="S189" s="44">
        <v>44.955382999999998</v>
      </c>
      <c r="T189" s="45">
        <v>-93.095797000000005</v>
      </c>
      <c r="U189" s="1"/>
      <c r="V189" s="1"/>
      <c r="W189" s="1"/>
      <c r="X189" s="1"/>
      <c r="Y189" s="1" t="s">
        <v>527</v>
      </c>
      <c r="Z189" s="1" t="s">
        <v>528</v>
      </c>
      <c r="AA189" s="1" t="s">
        <v>34</v>
      </c>
      <c r="AB189" s="1"/>
      <c r="AC189" s="2" t="s">
        <v>51</v>
      </c>
      <c r="AD189" s="2">
        <f t="shared" si="2"/>
        <v>2018</v>
      </c>
    </row>
    <row r="190" spans="1:30" hidden="1">
      <c r="A190" s="1" t="s">
        <v>945</v>
      </c>
      <c r="B190" s="3">
        <v>43391</v>
      </c>
      <c r="C190" s="1" t="s">
        <v>1041</v>
      </c>
      <c r="D190" s="1" t="s">
        <v>1042</v>
      </c>
      <c r="E190" s="1" t="s">
        <v>238</v>
      </c>
      <c r="F190" s="1" t="s">
        <v>34</v>
      </c>
      <c r="G190" s="2" t="s">
        <v>1043</v>
      </c>
      <c r="H190" s="1" t="s">
        <v>389</v>
      </c>
      <c r="I190" s="6"/>
      <c r="J190" s="4">
        <v>4</v>
      </c>
      <c r="L190" s="4"/>
      <c r="M190" s="1" t="s">
        <v>390</v>
      </c>
      <c r="N190" s="1" t="s">
        <v>86</v>
      </c>
      <c r="O190" s="1" t="s">
        <v>1044</v>
      </c>
      <c r="Q190" s="1" t="s">
        <v>1045</v>
      </c>
      <c r="R190" s="2">
        <v>56401</v>
      </c>
      <c r="S190" s="44">
        <v>46.350194999999999</v>
      </c>
      <c r="T190" s="45">
        <v>-94.099982999999995</v>
      </c>
      <c r="U190" s="1"/>
      <c r="V190" s="1"/>
      <c r="W190" s="1"/>
      <c r="X190" s="1"/>
      <c r="Y190" s="1"/>
      <c r="Z190" s="1"/>
      <c r="AA190" s="1"/>
      <c r="AB190" s="1"/>
      <c r="AC190" s="2" t="s">
        <v>41</v>
      </c>
      <c r="AD190" s="2">
        <f t="shared" si="2"/>
        <v>2018</v>
      </c>
    </row>
    <row r="191" spans="1:30" hidden="1">
      <c r="A191" s="1" t="s">
        <v>945</v>
      </c>
      <c r="B191" s="3">
        <v>43391</v>
      </c>
      <c r="C191" s="1" t="s">
        <v>1046</v>
      </c>
      <c r="D191" s="1" t="s">
        <v>65</v>
      </c>
      <c r="E191" s="1" t="s">
        <v>66</v>
      </c>
      <c r="F191" s="1" t="s">
        <v>34</v>
      </c>
      <c r="G191" s="2" t="s">
        <v>1047</v>
      </c>
      <c r="H191" s="1" t="s">
        <v>68</v>
      </c>
      <c r="I191" s="6"/>
      <c r="J191" s="4"/>
      <c r="L191" s="4"/>
      <c r="M191" s="1" t="s">
        <v>318</v>
      </c>
      <c r="N191" s="1" t="s">
        <v>86</v>
      </c>
      <c r="O191" s="1" t="s">
        <v>1048</v>
      </c>
      <c r="Q191" s="1" t="s">
        <v>1049</v>
      </c>
      <c r="R191" s="2">
        <v>55402</v>
      </c>
      <c r="S191" s="44">
        <v>44.975459999999998</v>
      </c>
      <c r="T191" s="45">
        <v>-93.272667999999996</v>
      </c>
      <c r="U191" s="1"/>
      <c r="V191" s="1"/>
      <c r="W191" s="1"/>
      <c r="X191" s="1"/>
      <c r="Y191" s="1"/>
      <c r="Z191" s="1"/>
      <c r="AA191" s="1"/>
      <c r="AB191" s="1"/>
      <c r="AC191" s="2" t="s">
        <v>51</v>
      </c>
      <c r="AD191" s="2">
        <f t="shared" si="2"/>
        <v>2018</v>
      </c>
    </row>
    <row r="192" spans="1:30" hidden="1">
      <c r="A192" s="1" t="s">
        <v>945</v>
      </c>
      <c r="B192" s="3">
        <v>43392</v>
      </c>
      <c r="C192" s="1" t="s">
        <v>1050</v>
      </c>
      <c r="D192" s="1" t="s">
        <v>1051</v>
      </c>
      <c r="E192" s="1" t="s">
        <v>66</v>
      </c>
      <c r="F192" s="1" t="s">
        <v>34</v>
      </c>
      <c r="G192" s="2" t="s">
        <v>1052</v>
      </c>
      <c r="H192" s="1" t="s">
        <v>199</v>
      </c>
      <c r="I192" s="6"/>
      <c r="J192" s="4">
        <v>10</v>
      </c>
      <c r="L192" s="4">
        <v>101000</v>
      </c>
      <c r="M192" s="1"/>
      <c r="N192" s="1" t="s">
        <v>77</v>
      </c>
      <c r="O192" s="1" t="s">
        <v>1053</v>
      </c>
      <c r="Q192" s="1" t="s">
        <v>1054</v>
      </c>
      <c r="R192" s="2">
        <v>55369</v>
      </c>
      <c r="S192" s="44">
        <v>45.155256000000001</v>
      </c>
      <c r="T192" s="45">
        <v>-93.503814000000006</v>
      </c>
      <c r="U192" s="1"/>
      <c r="V192" s="1"/>
      <c r="W192" s="1"/>
      <c r="X192" s="1"/>
      <c r="Y192" s="1"/>
      <c r="Z192" s="1"/>
      <c r="AA192" s="1"/>
      <c r="AB192" s="1"/>
      <c r="AC192" s="2" t="s">
        <v>51</v>
      </c>
      <c r="AD192" s="2">
        <f t="shared" si="2"/>
        <v>2018</v>
      </c>
    </row>
    <row r="193" spans="1:30" hidden="1">
      <c r="A193" s="1" t="s">
        <v>945</v>
      </c>
      <c r="B193" s="3">
        <v>43396</v>
      </c>
      <c r="C193" s="1" t="s">
        <v>1055</v>
      </c>
      <c r="D193" s="1" t="s">
        <v>1056</v>
      </c>
      <c r="E193" s="1" t="s">
        <v>91</v>
      </c>
      <c r="F193" s="1" t="s">
        <v>34</v>
      </c>
      <c r="G193" s="2" t="s">
        <v>1057</v>
      </c>
      <c r="H193" s="1"/>
      <c r="I193" s="6">
        <v>377836</v>
      </c>
      <c r="J193" s="4">
        <v>8</v>
      </c>
      <c r="L193" s="4"/>
      <c r="M193" s="1" t="s">
        <v>574</v>
      </c>
      <c r="N193" s="1" t="s">
        <v>48</v>
      </c>
      <c r="O193" s="1" t="s">
        <v>1058</v>
      </c>
      <c r="P193" s="1"/>
      <c r="Q193" s="1" t="s">
        <v>1059</v>
      </c>
      <c r="R193" s="2">
        <v>55792</v>
      </c>
      <c r="S193" s="44">
        <v>47.520144999999999</v>
      </c>
      <c r="T193" s="45">
        <v>-92.532667000000004</v>
      </c>
      <c r="U193" s="1" t="s">
        <v>60</v>
      </c>
      <c r="V193" s="1"/>
      <c r="W193" s="1"/>
      <c r="X193" s="1"/>
      <c r="Y193" s="1" t="s">
        <v>1060</v>
      </c>
      <c r="Z193" s="1" t="s">
        <v>1061</v>
      </c>
      <c r="AA193" s="1" t="s">
        <v>34</v>
      </c>
      <c r="AB193" s="1"/>
      <c r="AC193" s="1" t="s">
        <v>97</v>
      </c>
      <c r="AD193" s="2">
        <f t="shared" si="2"/>
        <v>2018</v>
      </c>
    </row>
    <row r="194" spans="1:30" hidden="1">
      <c r="A194" s="1" t="s">
        <v>945</v>
      </c>
      <c r="B194" s="3">
        <v>43396</v>
      </c>
      <c r="C194" s="1" t="s">
        <v>1062</v>
      </c>
      <c r="D194" s="1" t="s">
        <v>1056</v>
      </c>
      <c r="E194" s="1" t="s">
        <v>91</v>
      </c>
      <c r="F194" s="1" t="s">
        <v>34</v>
      </c>
      <c r="G194" s="2" t="s">
        <v>1063</v>
      </c>
      <c r="H194" s="1"/>
      <c r="I194" s="9"/>
      <c r="J194" s="4"/>
      <c r="L194" s="4">
        <v>2000</v>
      </c>
      <c r="M194" s="1" t="s">
        <v>47</v>
      </c>
      <c r="N194" s="1" t="s">
        <v>48</v>
      </c>
      <c r="O194" s="1" t="s">
        <v>1058</v>
      </c>
      <c r="P194" s="1"/>
      <c r="Q194" s="1" t="s">
        <v>114</v>
      </c>
      <c r="R194" s="2">
        <v>55741</v>
      </c>
      <c r="S194" s="44">
        <v>47.447685999999997</v>
      </c>
      <c r="T194" s="45">
        <v>-92.366335000000007</v>
      </c>
      <c r="U194" s="1"/>
      <c r="V194" s="1"/>
      <c r="W194" s="1"/>
      <c r="X194" s="1"/>
      <c r="Y194" s="1" t="s">
        <v>1062</v>
      </c>
      <c r="Z194" s="1" t="s">
        <v>40</v>
      </c>
      <c r="AA194" s="1" t="s">
        <v>34</v>
      </c>
      <c r="AB194" s="1"/>
      <c r="AC194" s="1" t="s">
        <v>97</v>
      </c>
      <c r="AD194" s="2">
        <f t="shared" ref="AD194:AD257" si="3">YEAR(B194)</f>
        <v>2018</v>
      </c>
    </row>
    <row r="195" spans="1:30" hidden="1">
      <c r="A195" s="1" t="s">
        <v>945</v>
      </c>
      <c r="B195" s="3">
        <v>43398</v>
      </c>
      <c r="C195" s="1" t="s">
        <v>1064</v>
      </c>
      <c r="D195" s="1" t="s">
        <v>219</v>
      </c>
      <c r="E195" s="1" t="s">
        <v>44</v>
      </c>
      <c r="F195" s="1" t="s">
        <v>34</v>
      </c>
      <c r="G195" s="2" t="s">
        <v>1065</v>
      </c>
      <c r="H195" s="1" t="s">
        <v>68</v>
      </c>
      <c r="I195" s="6">
        <v>101000000</v>
      </c>
      <c r="J195" s="4">
        <v>200</v>
      </c>
      <c r="L195" s="4">
        <v>460000</v>
      </c>
      <c r="M195" s="1" t="s">
        <v>57</v>
      </c>
      <c r="N195" s="1" t="s">
        <v>48</v>
      </c>
      <c r="O195" s="1" t="s">
        <v>1066</v>
      </c>
      <c r="Q195" s="1" t="s">
        <v>1067</v>
      </c>
      <c r="R195" s="2">
        <v>55016</v>
      </c>
      <c r="S195" s="44">
        <v>44.810797000000001</v>
      </c>
      <c r="T195" s="45">
        <v>-92.936413000000002</v>
      </c>
      <c r="U195" s="1"/>
      <c r="V195" s="1"/>
      <c r="W195" s="1"/>
      <c r="X195" s="1"/>
      <c r="Y195" s="1"/>
      <c r="Z195" s="1"/>
      <c r="AA195" s="1"/>
      <c r="AB195" s="1"/>
      <c r="AC195" s="2" t="s">
        <v>51</v>
      </c>
      <c r="AD195" s="2">
        <f t="shared" si="3"/>
        <v>2018</v>
      </c>
    </row>
    <row r="196" spans="1:30" hidden="1">
      <c r="A196" s="1" t="s">
        <v>945</v>
      </c>
      <c r="B196" s="3">
        <v>43402</v>
      </c>
      <c r="C196" s="1" t="s">
        <v>509</v>
      </c>
      <c r="D196" s="1" t="s">
        <v>1068</v>
      </c>
      <c r="E196" s="1" t="s">
        <v>91</v>
      </c>
      <c r="F196" s="1" t="s">
        <v>34</v>
      </c>
      <c r="G196" s="2" t="s">
        <v>1069</v>
      </c>
      <c r="H196" s="1" t="s">
        <v>36</v>
      </c>
      <c r="I196" s="6">
        <v>26000000</v>
      </c>
      <c r="J196" s="4"/>
      <c r="L196" s="4"/>
      <c r="M196" s="1"/>
      <c r="N196" s="1" t="s">
        <v>37</v>
      </c>
      <c r="O196" s="1" t="s">
        <v>1070</v>
      </c>
      <c r="P196" s="1"/>
      <c r="Q196" s="1" t="s">
        <v>1071</v>
      </c>
      <c r="R196" s="2">
        <v>55811</v>
      </c>
      <c r="S196" s="44">
        <v>46.822958999999997</v>
      </c>
      <c r="T196" s="45">
        <v>-92.191269000000005</v>
      </c>
      <c r="U196" s="1" t="s">
        <v>1072</v>
      </c>
      <c r="V196" s="1"/>
      <c r="W196" s="1"/>
      <c r="X196" s="1"/>
      <c r="Y196" s="1" t="s">
        <v>509</v>
      </c>
      <c r="Z196" s="1" t="s">
        <v>513</v>
      </c>
      <c r="AA196" s="1" t="s">
        <v>34</v>
      </c>
      <c r="AB196" s="1"/>
      <c r="AC196" s="1" t="s">
        <v>97</v>
      </c>
      <c r="AD196" s="2">
        <f t="shared" si="3"/>
        <v>2018</v>
      </c>
    </row>
    <row r="197" spans="1:30" hidden="1">
      <c r="A197" s="1" t="s">
        <v>945</v>
      </c>
      <c r="B197" s="3">
        <v>43402</v>
      </c>
      <c r="C197" s="1" t="s">
        <v>1073</v>
      </c>
      <c r="D197" s="1" t="s">
        <v>528</v>
      </c>
      <c r="E197" s="1" t="s">
        <v>66</v>
      </c>
      <c r="F197" s="1" t="s">
        <v>34</v>
      </c>
      <c r="G197" s="2" t="s">
        <v>1074</v>
      </c>
      <c r="H197" s="1" t="s">
        <v>188</v>
      </c>
      <c r="I197" s="6">
        <v>250000000</v>
      </c>
      <c r="J197" s="4"/>
      <c r="L197" s="4">
        <v>250000</v>
      </c>
      <c r="M197" s="1"/>
      <c r="N197" s="2" t="s">
        <v>610</v>
      </c>
      <c r="O197" s="1" t="s">
        <v>1075</v>
      </c>
      <c r="Q197" s="1" t="s">
        <v>1076</v>
      </c>
      <c r="R197" s="2">
        <v>55369</v>
      </c>
      <c r="S197" s="44">
        <v>45.115873000000001</v>
      </c>
      <c r="T197" s="45">
        <v>-93.403053</v>
      </c>
      <c r="U197" s="1"/>
      <c r="V197" s="1"/>
      <c r="W197" s="1"/>
      <c r="X197" s="1"/>
      <c r="Y197" s="1"/>
      <c r="Z197" s="1"/>
      <c r="AA197" s="1"/>
      <c r="AB197" s="1"/>
      <c r="AC197" s="2" t="s">
        <v>51</v>
      </c>
      <c r="AD197" s="2">
        <f t="shared" si="3"/>
        <v>2018</v>
      </c>
    </row>
    <row r="198" spans="1:30" hidden="1">
      <c r="A198" s="1" t="s">
        <v>945</v>
      </c>
      <c r="B198" s="3">
        <v>43402</v>
      </c>
      <c r="C198" s="1" t="s">
        <v>1077</v>
      </c>
      <c r="D198" s="1" t="s">
        <v>1078</v>
      </c>
      <c r="E198" s="1" t="s">
        <v>91</v>
      </c>
      <c r="F198" s="1" t="s">
        <v>34</v>
      </c>
      <c r="G198" s="2" t="s">
        <v>1079</v>
      </c>
      <c r="H198" s="1" t="s">
        <v>1080</v>
      </c>
      <c r="I198" s="6">
        <v>1900000</v>
      </c>
      <c r="J198" s="4">
        <v>6</v>
      </c>
      <c r="L198" s="4">
        <v>10000</v>
      </c>
      <c r="M198" s="1" t="s">
        <v>356</v>
      </c>
      <c r="N198" s="1" t="s">
        <v>48</v>
      </c>
      <c r="O198" s="1" t="s">
        <v>1081</v>
      </c>
      <c r="P198" s="1"/>
      <c r="Q198" s="1" t="s">
        <v>1082</v>
      </c>
      <c r="R198" s="2">
        <v>55746</v>
      </c>
      <c r="S198" s="44">
        <v>47.393586999999997</v>
      </c>
      <c r="T198" s="45">
        <v>-92.841620000000006</v>
      </c>
      <c r="U198" s="1" t="s">
        <v>1072</v>
      </c>
      <c r="V198" s="1"/>
      <c r="W198" s="1"/>
      <c r="X198" s="1"/>
      <c r="Y198" s="1"/>
      <c r="Z198" s="1"/>
      <c r="AA198" s="1"/>
      <c r="AB198" s="1"/>
      <c r="AC198" s="1" t="s">
        <v>97</v>
      </c>
      <c r="AD198" s="2">
        <f t="shared" si="3"/>
        <v>2018</v>
      </c>
    </row>
    <row r="199" spans="1:30" hidden="1">
      <c r="A199" s="1" t="s">
        <v>945</v>
      </c>
      <c r="B199" s="3">
        <v>43404</v>
      </c>
      <c r="C199" s="1" t="s">
        <v>1083</v>
      </c>
      <c r="D199" s="1" t="s">
        <v>111</v>
      </c>
      <c r="E199" s="1" t="s">
        <v>112</v>
      </c>
      <c r="F199" s="1" t="s">
        <v>34</v>
      </c>
      <c r="G199" s="2" t="s">
        <v>1084</v>
      </c>
      <c r="H199" s="1" t="s">
        <v>101</v>
      </c>
      <c r="I199" s="6"/>
      <c r="J199" s="4"/>
      <c r="L199" s="4">
        <v>1666</v>
      </c>
      <c r="M199" s="1"/>
      <c r="N199" s="1" t="s">
        <v>384</v>
      </c>
      <c r="O199" s="1" t="s">
        <v>1085</v>
      </c>
      <c r="Q199" s="1" t="s">
        <v>1086</v>
      </c>
      <c r="R199" s="2">
        <v>55902</v>
      </c>
      <c r="S199" s="44">
        <v>44.017968000000003</v>
      </c>
      <c r="T199" s="45">
        <v>-92.464697999999999</v>
      </c>
      <c r="U199" s="1"/>
      <c r="V199" s="1"/>
      <c r="W199" s="1"/>
      <c r="X199" s="1"/>
      <c r="Y199" s="1" t="s">
        <v>1087</v>
      </c>
      <c r="Z199" s="1" t="s">
        <v>65</v>
      </c>
      <c r="AA199" s="1" t="s">
        <v>34</v>
      </c>
      <c r="AB199" s="1"/>
      <c r="AC199" s="2" t="s">
        <v>120</v>
      </c>
      <c r="AD199" s="2">
        <f t="shared" si="3"/>
        <v>2018</v>
      </c>
    </row>
    <row r="200" spans="1:30" hidden="1">
      <c r="A200" s="1" t="s">
        <v>945</v>
      </c>
      <c r="B200" s="3">
        <v>43405</v>
      </c>
      <c r="C200" s="1" t="s">
        <v>1088</v>
      </c>
      <c r="D200" s="1" t="s">
        <v>789</v>
      </c>
      <c r="E200" s="1" t="s">
        <v>99</v>
      </c>
      <c r="F200" s="1" t="s">
        <v>34</v>
      </c>
      <c r="G200" s="2" t="s">
        <v>1089</v>
      </c>
      <c r="H200" s="1" t="s">
        <v>1090</v>
      </c>
      <c r="I200" s="6">
        <v>25725000</v>
      </c>
      <c r="J200" s="4">
        <v>129</v>
      </c>
      <c r="L200" s="4"/>
      <c r="M200" s="1"/>
      <c r="N200" s="1" t="s">
        <v>313</v>
      </c>
      <c r="O200" s="1" t="s">
        <v>1091</v>
      </c>
      <c r="Q200" s="1"/>
      <c r="R200" s="2">
        <v>55117</v>
      </c>
      <c r="S200" s="2">
        <v>44.983600600000003</v>
      </c>
      <c r="T200" s="2">
        <v>-93.092597999999995</v>
      </c>
      <c r="U200" s="1" t="s">
        <v>60</v>
      </c>
      <c r="V200" s="1"/>
      <c r="W200" s="1"/>
      <c r="X200" s="1"/>
      <c r="Y200" s="1"/>
      <c r="Z200" s="1"/>
      <c r="AA200" s="1"/>
      <c r="AB200" s="1"/>
      <c r="AC200" s="2" t="s">
        <v>51</v>
      </c>
      <c r="AD200" s="2">
        <f t="shared" si="3"/>
        <v>2018</v>
      </c>
    </row>
    <row r="201" spans="1:30" hidden="1">
      <c r="A201" s="1" t="s">
        <v>945</v>
      </c>
      <c r="B201" s="3">
        <v>43405</v>
      </c>
      <c r="C201" s="1" t="s">
        <v>1092</v>
      </c>
      <c r="D201" s="1" t="s">
        <v>65</v>
      </c>
      <c r="E201" s="1" t="s">
        <v>66</v>
      </c>
      <c r="F201" s="1" t="s">
        <v>34</v>
      </c>
      <c r="G201" s="2" t="s">
        <v>1093</v>
      </c>
      <c r="H201" s="1" t="s">
        <v>46</v>
      </c>
      <c r="I201" s="6"/>
      <c r="J201" s="4">
        <v>27</v>
      </c>
      <c r="L201" s="4"/>
      <c r="M201" s="1" t="s">
        <v>167</v>
      </c>
      <c r="N201" s="1" t="s">
        <v>48</v>
      </c>
      <c r="O201" s="1" t="s">
        <v>1094</v>
      </c>
      <c r="Q201" s="1" t="s">
        <v>1095</v>
      </c>
      <c r="R201" s="2">
        <v>55411</v>
      </c>
      <c r="S201" s="44">
        <v>44.995372000000003</v>
      </c>
      <c r="T201" s="45">
        <v>-93.276627000000005</v>
      </c>
      <c r="U201" s="1"/>
      <c r="V201" s="1"/>
      <c r="W201" s="1"/>
      <c r="X201" s="1" t="s">
        <v>116</v>
      </c>
      <c r="Y201" s="1" t="s">
        <v>1096</v>
      </c>
      <c r="Z201" s="1" t="s">
        <v>1097</v>
      </c>
      <c r="AA201" s="1"/>
      <c r="AB201" s="1" t="s">
        <v>1098</v>
      </c>
      <c r="AC201" s="2" t="s">
        <v>51</v>
      </c>
      <c r="AD201" s="2">
        <f t="shared" si="3"/>
        <v>2018</v>
      </c>
    </row>
    <row r="202" spans="1:30" ht="15.75" hidden="1">
      <c r="A202" s="1" t="s">
        <v>945</v>
      </c>
      <c r="B202" s="3">
        <v>43405</v>
      </c>
      <c r="C202" s="1" t="s">
        <v>1099</v>
      </c>
      <c r="D202" s="1" t="s">
        <v>1100</v>
      </c>
      <c r="E202" s="1" t="s">
        <v>91</v>
      </c>
      <c r="F202" s="1" t="s">
        <v>34</v>
      </c>
      <c r="G202" s="2" t="s">
        <v>1101</v>
      </c>
      <c r="H202" s="1" t="s">
        <v>48</v>
      </c>
      <c r="I202" s="6"/>
      <c r="J202" s="4">
        <v>20</v>
      </c>
      <c r="L202" s="4">
        <v>30000</v>
      </c>
      <c r="M202" s="1" t="s">
        <v>57</v>
      </c>
      <c r="N202" s="1" t="s">
        <v>48</v>
      </c>
      <c r="O202" s="1" t="s">
        <v>1102</v>
      </c>
      <c r="P202" s="1"/>
      <c r="Q202" s="153" t="s">
        <v>1103</v>
      </c>
      <c r="R202" s="2">
        <v>55750</v>
      </c>
      <c r="S202" s="44">
        <v>47.519697999999998</v>
      </c>
      <c r="T202" s="45">
        <v>-92.176253000000003</v>
      </c>
      <c r="U202" s="1"/>
      <c r="V202" s="1"/>
      <c r="W202" s="1"/>
      <c r="X202" s="1"/>
      <c r="Y202" s="1" t="s">
        <v>1099</v>
      </c>
      <c r="Z202" s="1" t="s">
        <v>1104</v>
      </c>
      <c r="AA202" s="1" t="s">
        <v>34</v>
      </c>
      <c r="AB202" s="1"/>
      <c r="AC202" s="1" t="s">
        <v>97</v>
      </c>
      <c r="AD202" s="2">
        <f t="shared" si="3"/>
        <v>2018</v>
      </c>
    </row>
    <row r="203" spans="1:30" ht="15.75" hidden="1">
      <c r="A203" s="1" t="s">
        <v>945</v>
      </c>
      <c r="B203" s="3">
        <v>43409</v>
      </c>
      <c r="C203" s="1" t="s">
        <v>1105</v>
      </c>
      <c r="D203" s="1" t="s">
        <v>539</v>
      </c>
      <c r="E203" s="1" t="s">
        <v>74</v>
      </c>
      <c r="F203" s="1" t="s">
        <v>34</v>
      </c>
      <c r="G203" s="2" t="s">
        <v>1106</v>
      </c>
      <c r="H203" s="1" t="s">
        <v>1107</v>
      </c>
      <c r="I203" s="6"/>
      <c r="J203" s="4">
        <v>12</v>
      </c>
      <c r="L203" s="4">
        <v>7076</v>
      </c>
      <c r="M203" s="1" t="s">
        <v>148</v>
      </c>
      <c r="N203" s="1" t="s">
        <v>48</v>
      </c>
      <c r="O203" s="1" t="s">
        <v>1108</v>
      </c>
      <c r="Q203" s="153" t="s">
        <v>1109</v>
      </c>
      <c r="R203" s="2">
        <v>55337</v>
      </c>
      <c r="S203" s="44">
        <v>44.786749999999998</v>
      </c>
      <c r="T203" s="45">
        <v>-93.273987000000005</v>
      </c>
      <c r="U203" s="1"/>
      <c r="V203" s="1"/>
      <c r="W203" s="1"/>
      <c r="X203" s="1"/>
      <c r="Y203" s="1" t="s">
        <v>1105</v>
      </c>
      <c r="Z203" s="1" t="s">
        <v>539</v>
      </c>
      <c r="AA203" s="1" t="s">
        <v>34</v>
      </c>
      <c r="AB203" s="1"/>
      <c r="AC203" s="2" t="s">
        <v>51</v>
      </c>
      <c r="AD203" s="2">
        <f t="shared" si="3"/>
        <v>2018</v>
      </c>
    </row>
    <row r="204" spans="1:30" hidden="1">
      <c r="A204" s="1" t="s">
        <v>945</v>
      </c>
      <c r="B204" s="3">
        <v>43413</v>
      </c>
      <c r="C204" s="1" t="s">
        <v>1110</v>
      </c>
      <c r="D204" s="1" t="s">
        <v>203</v>
      </c>
      <c r="E204" s="1" t="s">
        <v>74</v>
      </c>
      <c r="F204" s="1" t="s">
        <v>34</v>
      </c>
      <c r="G204" s="2" t="s">
        <v>1111</v>
      </c>
      <c r="H204" s="1" t="s">
        <v>188</v>
      </c>
      <c r="I204" s="6">
        <v>7000000</v>
      </c>
      <c r="J204" s="4"/>
      <c r="L204" s="4"/>
      <c r="M204" s="1" t="s">
        <v>1112</v>
      </c>
      <c r="N204" s="1" t="s">
        <v>103</v>
      </c>
      <c r="O204" s="1" t="s">
        <v>1113</v>
      </c>
      <c r="Q204" s="1" t="s">
        <v>1114</v>
      </c>
      <c r="R204" s="2">
        <v>55122</v>
      </c>
      <c r="S204" s="44">
        <v>44.792552000000001</v>
      </c>
      <c r="T204" s="45">
        <v>-93.179737000000003</v>
      </c>
      <c r="U204" s="1"/>
      <c r="V204" s="1"/>
      <c r="W204" s="1"/>
      <c r="X204" s="1"/>
      <c r="Y204" s="1" t="s">
        <v>985</v>
      </c>
      <c r="Z204" s="1" t="s">
        <v>986</v>
      </c>
      <c r="AA204" s="1" t="s">
        <v>34</v>
      </c>
      <c r="AB204" s="1"/>
      <c r="AC204" s="2" t="s">
        <v>51</v>
      </c>
      <c r="AD204" s="2">
        <f t="shared" si="3"/>
        <v>2018</v>
      </c>
    </row>
    <row r="205" spans="1:30" hidden="1">
      <c r="A205" s="1" t="s">
        <v>945</v>
      </c>
      <c r="B205" s="3">
        <v>43413</v>
      </c>
      <c r="C205" s="1" t="s">
        <v>985</v>
      </c>
      <c r="D205" s="1" t="s">
        <v>986</v>
      </c>
      <c r="E205" s="1" t="s">
        <v>54</v>
      </c>
      <c r="F205" s="1" t="s">
        <v>34</v>
      </c>
      <c r="G205" s="2" t="s">
        <v>1115</v>
      </c>
      <c r="H205" s="1" t="s">
        <v>68</v>
      </c>
      <c r="I205" s="6">
        <v>30000000</v>
      </c>
      <c r="J205" s="4"/>
      <c r="L205" s="4">
        <v>70000</v>
      </c>
      <c r="M205" s="1" t="s">
        <v>1112</v>
      </c>
      <c r="N205" s="1" t="s">
        <v>103</v>
      </c>
      <c r="O205" s="1" t="s">
        <v>1113</v>
      </c>
      <c r="Q205" s="1" t="s">
        <v>1116</v>
      </c>
      <c r="R205" s="2">
        <v>55317</v>
      </c>
      <c r="S205" s="44">
        <v>44.862487999999999</v>
      </c>
      <c r="T205" s="45">
        <v>-93.595945999999998</v>
      </c>
      <c r="U205" s="1"/>
      <c r="V205" s="1"/>
      <c r="W205" s="1"/>
      <c r="X205" s="1"/>
      <c r="Y205" s="1"/>
      <c r="Z205" s="1"/>
      <c r="AA205" s="1"/>
      <c r="AB205" s="1"/>
      <c r="AC205" s="2" t="s">
        <v>51</v>
      </c>
      <c r="AD205" s="2">
        <f t="shared" si="3"/>
        <v>2018</v>
      </c>
    </row>
    <row r="206" spans="1:30" hidden="1">
      <c r="A206" s="1" t="s">
        <v>945</v>
      </c>
      <c r="B206" s="3">
        <v>43414</v>
      </c>
      <c r="C206" s="1" t="s">
        <v>1117</v>
      </c>
      <c r="D206" s="1" t="s">
        <v>65</v>
      </c>
      <c r="E206" s="1" t="s">
        <v>66</v>
      </c>
      <c r="F206" s="1" t="s">
        <v>34</v>
      </c>
      <c r="G206" s="2" t="s">
        <v>1118</v>
      </c>
      <c r="H206" s="1" t="s">
        <v>153</v>
      </c>
      <c r="I206" s="6"/>
      <c r="J206" s="4"/>
      <c r="L206" s="4"/>
      <c r="M206" s="1" t="s">
        <v>684</v>
      </c>
      <c r="N206" s="1" t="s">
        <v>48</v>
      </c>
      <c r="O206" s="1" t="s">
        <v>1119</v>
      </c>
      <c r="Q206" s="1" t="s">
        <v>1120</v>
      </c>
      <c r="R206" s="2">
        <v>55415</v>
      </c>
      <c r="S206" s="44">
        <v>44.974254999999999</v>
      </c>
      <c r="T206" s="45">
        <v>-93.253962999999999</v>
      </c>
      <c r="U206" s="1"/>
      <c r="V206" s="1"/>
      <c r="W206" s="1"/>
      <c r="X206" s="1"/>
      <c r="Y206" s="1" t="s">
        <v>1121</v>
      </c>
      <c r="Z206" s="1" t="s">
        <v>1122</v>
      </c>
      <c r="AA206" s="1" t="s">
        <v>1123</v>
      </c>
      <c r="AB206" s="1"/>
      <c r="AC206" s="2" t="s">
        <v>51</v>
      </c>
      <c r="AD206" s="2">
        <f t="shared" si="3"/>
        <v>2018</v>
      </c>
    </row>
    <row r="207" spans="1:30" hidden="1">
      <c r="A207" s="1" t="s">
        <v>945</v>
      </c>
      <c r="B207" s="3">
        <v>43417</v>
      </c>
      <c r="C207" s="1" t="s">
        <v>1124</v>
      </c>
      <c r="D207" s="1" t="s">
        <v>1125</v>
      </c>
      <c r="E207" s="1" t="s">
        <v>572</v>
      </c>
      <c r="F207" s="1" t="s">
        <v>34</v>
      </c>
      <c r="G207" s="2" t="s">
        <v>1126</v>
      </c>
      <c r="H207" s="1" t="s">
        <v>48</v>
      </c>
      <c r="I207" s="6">
        <v>3460000</v>
      </c>
      <c r="J207" s="4">
        <v>51</v>
      </c>
      <c r="L207" s="4"/>
      <c r="M207" s="1" t="s">
        <v>47</v>
      </c>
      <c r="N207" s="1" t="s">
        <v>48</v>
      </c>
      <c r="O207" s="1" t="s">
        <v>1127</v>
      </c>
      <c r="Q207" s="1" t="s">
        <v>1128</v>
      </c>
      <c r="R207" s="2">
        <v>55302</v>
      </c>
      <c r="S207" s="44">
        <v>45.218651999999999</v>
      </c>
      <c r="T207" s="45">
        <v>-94.105947999999998</v>
      </c>
      <c r="U207" s="1" t="s">
        <v>60</v>
      </c>
      <c r="V207" s="1"/>
      <c r="W207" s="1"/>
      <c r="X207" s="1"/>
      <c r="Y207" s="1" t="s">
        <v>1124</v>
      </c>
      <c r="Z207" s="1" t="s">
        <v>448</v>
      </c>
      <c r="AA207" s="1" t="s">
        <v>34</v>
      </c>
      <c r="AB207" s="1"/>
      <c r="AC207" s="2" t="s">
        <v>41</v>
      </c>
      <c r="AD207" s="2">
        <f t="shared" si="3"/>
        <v>2018</v>
      </c>
    </row>
    <row r="208" spans="1:30" hidden="1">
      <c r="A208" s="1" t="s">
        <v>945</v>
      </c>
      <c r="B208" s="3">
        <v>43418</v>
      </c>
      <c r="C208" s="1" t="s">
        <v>1129</v>
      </c>
      <c r="D208" s="1" t="s">
        <v>372</v>
      </c>
      <c r="E208" s="1" t="s">
        <v>373</v>
      </c>
      <c r="F208" s="1" t="s">
        <v>34</v>
      </c>
      <c r="G208" s="2" t="s">
        <v>1130</v>
      </c>
      <c r="H208" s="1" t="s">
        <v>48</v>
      </c>
      <c r="I208" s="6"/>
      <c r="J208" s="4">
        <v>82</v>
      </c>
      <c r="L208" s="4">
        <v>117000</v>
      </c>
      <c r="M208" s="1" t="s">
        <v>574</v>
      </c>
      <c r="N208" s="1" t="s">
        <v>48</v>
      </c>
      <c r="O208" s="1" t="s">
        <v>1131</v>
      </c>
      <c r="Q208" s="1" t="s">
        <v>1132</v>
      </c>
      <c r="R208" s="2">
        <v>56001</v>
      </c>
      <c r="S208" s="44">
        <v>44.181162</v>
      </c>
      <c r="T208" s="45">
        <v>-93.939179999999993</v>
      </c>
      <c r="U208" s="1" t="s">
        <v>60</v>
      </c>
      <c r="V208" s="1"/>
      <c r="W208" s="1"/>
      <c r="X208" s="1"/>
      <c r="Y208" s="1" t="s">
        <v>1129</v>
      </c>
      <c r="Z208" s="1" t="s">
        <v>1133</v>
      </c>
      <c r="AA208" s="1" t="s">
        <v>1123</v>
      </c>
      <c r="AB208" s="1"/>
      <c r="AC208" s="2" t="s">
        <v>120</v>
      </c>
      <c r="AD208" s="2">
        <f t="shared" si="3"/>
        <v>2018</v>
      </c>
    </row>
    <row r="209" spans="1:30" hidden="1">
      <c r="A209" s="1" t="s">
        <v>945</v>
      </c>
      <c r="B209" s="3">
        <v>43419</v>
      </c>
      <c r="C209" s="1" t="s">
        <v>1134</v>
      </c>
      <c r="D209" s="1" t="s">
        <v>90</v>
      </c>
      <c r="E209" s="1" t="s">
        <v>91</v>
      </c>
      <c r="F209" s="1" t="s">
        <v>34</v>
      </c>
      <c r="G209" s="2" t="s">
        <v>1135</v>
      </c>
      <c r="H209" s="1" t="s">
        <v>68</v>
      </c>
      <c r="I209" s="6">
        <v>9000000</v>
      </c>
      <c r="J209" s="4"/>
      <c r="L209" s="4">
        <v>25000</v>
      </c>
      <c r="M209" s="1" t="s">
        <v>93</v>
      </c>
      <c r="N209" s="1" t="s">
        <v>48</v>
      </c>
      <c r="O209" s="1" t="s">
        <v>1136</v>
      </c>
      <c r="Q209" s="1" t="s">
        <v>1137</v>
      </c>
      <c r="R209" s="2">
        <v>55807</v>
      </c>
      <c r="S209" s="2">
        <v>46.732399000000001</v>
      </c>
      <c r="T209" s="2">
        <v>-92.166397099999998</v>
      </c>
      <c r="U209" s="1"/>
      <c r="V209" s="1"/>
      <c r="W209" s="1"/>
      <c r="X209" s="1"/>
      <c r="Y209" s="1"/>
      <c r="Z209" s="1"/>
      <c r="AA209" s="1"/>
      <c r="AB209" s="1"/>
      <c r="AC209" s="2" t="s">
        <v>97</v>
      </c>
      <c r="AD209" s="2">
        <f t="shared" si="3"/>
        <v>2018</v>
      </c>
    </row>
    <row r="210" spans="1:30" hidden="1">
      <c r="A210" s="1" t="s">
        <v>945</v>
      </c>
      <c r="B210" s="3">
        <v>43420</v>
      </c>
      <c r="C210" s="1" t="s">
        <v>1138</v>
      </c>
      <c r="D210" s="1" t="s">
        <v>340</v>
      </c>
      <c r="E210" s="1" t="s">
        <v>66</v>
      </c>
      <c r="F210" s="1" t="s">
        <v>34</v>
      </c>
      <c r="G210" s="2" t="s">
        <v>1139</v>
      </c>
      <c r="H210" s="1" t="s">
        <v>56</v>
      </c>
      <c r="I210" s="6">
        <v>4500000</v>
      </c>
      <c r="J210" s="4">
        <v>101</v>
      </c>
      <c r="L210" s="4">
        <v>27500</v>
      </c>
      <c r="M210" s="1" t="s">
        <v>167</v>
      </c>
      <c r="N210" s="1" t="s">
        <v>48</v>
      </c>
      <c r="O210" s="1" t="s">
        <v>1140</v>
      </c>
      <c r="Q210" s="1" t="s">
        <v>1141</v>
      </c>
      <c r="R210" s="2">
        <v>55442</v>
      </c>
      <c r="S210" s="2">
        <v>45.060060999999997</v>
      </c>
      <c r="T210" s="2">
        <v>-93.404690000000002</v>
      </c>
      <c r="U210" s="1"/>
      <c r="V210" s="1"/>
      <c r="W210" s="1"/>
      <c r="X210" s="1"/>
      <c r="Y210" s="1" t="s">
        <v>1142</v>
      </c>
      <c r="Z210" s="1" t="s">
        <v>1143</v>
      </c>
      <c r="AA210" s="1" t="s">
        <v>1144</v>
      </c>
      <c r="AB210" s="1"/>
      <c r="AC210" s="2" t="s">
        <v>51</v>
      </c>
      <c r="AD210" s="2">
        <f t="shared" si="3"/>
        <v>2018</v>
      </c>
    </row>
    <row r="211" spans="1:30" hidden="1">
      <c r="A211" s="1" t="s">
        <v>945</v>
      </c>
      <c r="B211" s="3">
        <v>43424</v>
      </c>
      <c r="C211" s="1" t="s">
        <v>1145</v>
      </c>
      <c r="D211" s="1" t="s">
        <v>65</v>
      </c>
      <c r="E211" s="1" t="s">
        <v>66</v>
      </c>
      <c r="F211" s="1" t="s">
        <v>34</v>
      </c>
      <c r="G211" s="2" t="s">
        <v>1146</v>
      </c>
      <c r="H211" s="1" t="s">
        <v>48</v>
      </c>
      <c r="I211" s="6"/>
      <c r="J211" s="4">
        <v>55</v>
      </c>
      <c r="L211" s="4"/>
      <c r="M211" s="1" t="s">
        <v>93</v>
      </c>
      <c r="N211" s="1" t="s">
        <v>48</v>
      </c>
      <c r="O211" s="1" t="s">
        <v>1147</v>
      </c>
      <c r="Q211" s="1" t="s">
        <v>114</v>
      </c>
      <c r="R211" s="2">
        <v>55401</v>
      </c>
      <c r="S211" s="44">
        <v>44.984577000000002</v>
      </c>
      <c r="T211" s="45">
        <v>-93.269097000000002</v>
      </c>
      <c r="U211" s="1"/>
      <c r="V211" s="1"/>
      <c r="W211" s="1"/>
      <c r="X211" s="1"/>
      <c r="Y211" s="1" t="s">
        <v>1148</v>
      </c>
      <c r="Z211" s="1" t="s">
        <v>1149</v>
      </c>
      <c r="AA211" s="1" t="s">
        <v>322</v>
      </c>
      <c r="AB211" s="1"/>
      <c r="AC211" s="2" t="s">
        <v>51</v>
      </c>
      <c r="AD211" s="2">
        <f t="shared" si="3"/>
        <v>2018</v>
      </c>
    </row>
    <row r="212" spans="1:30" hidden="1">
      <c r="A212" s="1" t="s">
        <v>945</v>
      </c>
      <c r="B212" s="3">
        <v>43424</v>
      </c>
      <c r="C212" s="1" t="s">
        <v>1150</v>
      </c>
      <c r="D212" s="1" t="s">
        <v>1151</v>
      </c>
      <c r="E212" s="1" t="s">
        <v>572</v>
      </c>
      <c r="F212" s="1" t="s">
        <v>34</v>
      </c>
      <c r="G212" s="2" t="s">
        <v>1152</v>
      </c>
      <c r="H212" s="1" t="s">
        <v>188</v>
      </c>
      <c r="I212" s="6"/>
      <c r="J212" s="4">
        <v>57</v>
      </c>
      <c r="L212" s="4"/>
      <c r="M212" s="1"/>
      <c r="N212" s="1" t="s">
        <v>77</v>
      </c>
      <c r="O212" s="1" t="s">
        <v>1147</v>
      </c>
      <c r="Q212" s="1" t="s">
        <v>1153</v>
      </c>
      <c r="R212" s="2">
        <v>55301</v>
      </c>
      <c r="S212" s="44">
        <v>45.247734000000001</v>
      </c>
      <c r="T212" s="45">
        <v>-93.687039999999996</v>
      </c>
      <c r="U212" s="1"/>
      <c r="V212" s="1"/>
      <c r="W212" s="1"/>
      <c r="X212" s="1"/>
      <c r="Y212" s="1"/>
      <c r="Z212" s="1"/>
      <c r="AA212" s="1"/>
      <c r="AB212" s="1"/>
      <c r="AC212" s="2" t="s">
        <v>41</v>
      </c>
      <c r="AD212" s="2">
        <f t="shared" si="3"/>
        <v>2018</v>
      </c>
    </row>
    <row r="213" spans="1:30" hidden="1">
      <c r="A213" s="1" t="s">
        <v>945</v>
      </c>
      <c r="B213" s="3">
        <v>43424</v>
      </c>
      <c r="C213" s="1" t="s">
        <v>1154</v>
      </c>
      <c r="D213" s="1" t="s">
        <v>1155</v>
      </c>
      <c r="E213" s="1" t="s">
        <v>44</v>
      </c>
      <c r="F213" s="1" t="s">
        <v>34</v>
      </c>
      <c r="G213" s="2" t="s">
        <v>1156</v>
      </c>
      <c r="H213" s="1" t="s">
        <v>1157</v>
      </c>
      <c r="I213" s="9">
        <v>1000000</v>
      </c>
      <c r="J213" s="33"/>
      <c r="L213" s="4"/>
      <c r="M213" s="1"/>
      <c r="N213" s="1" t="s">
        <v>253</v>
      </c>
      <c r="O213" s="1" t="s">
        <v>1158</v>
      </c>
      <c r="Q213" s="1" t="s">
        <v>1159</v>
      </c>
      <c r="R213" s="2">
        <v>55128</v>
      </c>
      <c r="S213" s="44">
        <v>44.948573000000003</v>
      </c>
      <c r="T213" s="45">
        <v>-92.977046999999999</v>
      </c>
      <c r="U213" s="1"/>
      <c r="V213" s="1"/>
      <c r="W213" s="1"/>
      <c r="X213" s="1"/>
      <c r="Y213" s="1" t="s">
        <v>1160</v>
      </c>
      <c r="Z213" s="1" t="s">
        <v>1161</v>
      </c>
      <c r="AA213" s="1" t="s">
        <v>1162</v>
      </c>
      <c r="AB213" s="1"/>
      <c r="AC213" s="2" t="s">
        <v>51</v>
      </c>
      <c r="AD213" s="2">
        <f t="shared" si="3"/>
        <v>2018</v>
      </c>
    </row>
    <row r="214" spans="1:30" hidden="1">
      <c r="A214" s="1" t="s">
        <v>945</v>
      </c>
      <c r="B214" s="3">
        <v>43425</v>
      </c>
      <c r="C214" s="1" t="s">
        <v>1163</v>
      </c>
      <c r="D214" s="1" t="s">
        <v>96</v>
      </c>
      <c r="E214" s="1" t="s">
        <v>99</v>
      </c>
      <c r="F214" s="1" t="s">
        <v>34</v>
      </c>
      <c r="G214" s="2" t="s">
        <v>1164</v>
      </c>
      <c r="H214" s="1" t="s">
        <v>46</v>
      </c>
      <c r="I214" s="6">
        <v>1795788</v>
      </c>
      <c r="J214" s="4">
        <v>135</v>
      </c>
      <c r="L214" s="4"/>
      <c r="M214" s="1" t="s">
        <v>132</v>
      </c>
      <c r="N214" s="1" t="s">
        <v>48</v>
      </c>
      <c r="O214" s="1" t="s">
        <v>1165</v>
      </c>
      <c r="Q214" s="1" t="s">
        <v>1166</v>
      </c>
      <c r="R214" s="2">
        <v>55101</v>
      </c>
      <c r="S214" s="44">
        <v>44.951483000000003</v>
      </c>
      <c r="T214" s="45">
        <v>-93.090648999999999</v>
      </c>
      <c r="U214" s="1" t="s">
        <v>60</v>
      </c>
      <c r="V214" s="1"/>
      <c r="W214" s="1"/>
      <c r="X214" s="1"/>
      <c r="Y214" s="1"/>
      <c r="Z214" s="1"/>
      <c r="AA214" s="1"/>
      <c r="AB214" s="1"/>
      <c r="AC214" s="2" t="s">
        <v>51</v>
      </c>
      <c r="AD214" s="2">
        <f t="shared" si="3"/>
        <v>2018</v>
      </c>
    </row>
    <row r="215" spans="1:30" hidden="1">
      <c r="A215" s="1" t="s">
        <v>945</v>
      </c>
      <c r="B215" s="3">
        <v>43425</v>
      </c>
      <c r="C215" s="1" t="s">
        <v>1167</v>
      </c>
      <c r="D215" s="1" t="s">
        <v>1168</v>
      </c>
      <c r="E215" s="1" t="s">
        <v>572</v>
      </c>
      <c r="F215" s="1" t="s">
        <v>34</v>
      </c>
      <c r="G215" s="2" t="s">
        <v>1169</v>
      </c>
      <c r="H215" s="1" t="s">
        <v>48</v>
      </c>
      <c r="I215" s="6">
        <v>7200000</v>
      </c>
      <c r="J215" s="4">
        <v>10</v>
      </c>
      <c r="L215" s="4">
        <v>91000</v>
      </c>
      <c r="M215" s="1" t="s">
        <v>57</v>
      </c>
      <c r="N215" s="1" t="s">
        <v>48</v>
      </c>
      <c r="O215" s="1" t="s">
        <v>1165</v>
      </c>
      <c r="Q215" s="1" t="s">
        <v>114</v>
      </c>
      <c r="R215" s="2">
        <v>55313</v>
      </c>
      <c r="S215" s="44">
        <v>45.180731999999999</v>
      </c>
      <c r="T215" s="45">
        <v>-93.927555999999996</v>
      </c>
      <c r="U215" s="1" t="s">
        <v>60</v>
      </c>
      <c r="V215" s="1"/>
      <c r="W215" s="1"/>
      <c r="X215" s="1"/>
      <c r="Y215" s="1" t="s">
        <v>1167</v>
      </c>
      <c r="Z215" s="1" t="s">
        <v>1151</v>
      </c>
      <c r="AA215" s="1" t="s">
        <v>34</v>
      </c>
      <c r="AB215" s="1"/>
      <c r="AC215" s="2" t="s">
        <v>41</v>
      </c>
      <c r="AD215" s="2">
        <f t="shared" si="3"/>
        <v>2018</v>
      </c>
    </row>
    <row r="216" spans="1:30" hidden="1">
      <c r="A216" s="1" t="s">
        <v>945</v>
      </c>
      <c r="B216" s="3">
        <v>43425</v>
      </c>
      <c r="C216" s="1" t="s">
        <v>1170</v>
      </c>
      <c r="D216" s="1" t="s">
        <v>1171</v>
      </c>
      <c r="E216" s="1" t="s">
        <v>1172</v>
      </c>
      <c r="F216" s="1" t="s">
        <v>34</v>
      </c>
      <c r="G216" s="2" t="s">
        <v>1173</v>
      </c>
      <c r="H216" s="1" t="s">
        <v>1174</v>
      </c>
      <c r="I216" s="6">
        <v>1200000</v>
      </c>
      <c r="J216" s="4">
        <v>10</v>
      </c>
      <c r="L216" s="4"/>
      <c r="M216" s="1" t="s">
        <v>93</v>
      </c>
      <c r="N216" s="1" t="s">
        <v>48</v>
      </c>
      <c r="O216" s="1" t="s">
        <v>1165</v>
      </c>
      <c r="Q216" s="1" t="s">
        <v>1175</v>
      </c>
      <c r="R216" s="2">
        <v>56379</v>
      </c>
      <c r="S216" s="44">
        <v>45.596147999999999</v>
      </c>
      <c r="T216" s="45">
        <v>-94.142448000000002</v>
      </c>
      <c r="U216" s="1" t="s">
        <v>60</v>
      </c>
      <c r="V216" s="1"/>
      <c r="W216" s="1"/>
      <c r="X216" s="1"/>
      <c r="Y216" s="1"/>
      <c r="Z216" s="1"/>
      <c r="AA216" s="1"/>
      <c r="AB216" s="1"/>
      <c r="AC216" s="2" t="s">
        <v>41</v>
      </c>
      <c r="AD216" s="2">
        <f t="shared" si="3"/>
        <v>2018</v>
      </c>
    </row>
    <row r="217" spans="1:30" hidden="1">
      <c r="A217" s="1" t="s">
        <v>945</v>
      </c>
      <c r="B217" s="3">
        <v>43425</v>
      </c>
      <c r="C217" s="1" t="s">
        <v>1176</v>
      </c>
      <c r="D217" s="1" t="s">
        <v>956</v>
      </c>
      <c r="E217" s="1" t="s">
        <v>1013</v>
      </c>
      <c r="F217" s="1" t="s">
        <v>34</v>
      </c>
      <c r="G217" s="2" t="s">
        <v>1177</v>
      </c>
      <c r="H217" s="1" t="s">
        <v>46</v>
      </c>
      <c r="I217" s="6">
        <v>7900000</v>
      </c>
      <c r="J217" s="4">
        <v>20</v>
      </c>
      <c r="L217" s="4">
        <v>70000</v>
      </c>
      <c r="M217" s="1" t="s">
        <v>132</v>
      </c>
      <c r="N217" s="1" t="s">
        <v>48</v>
      </c>
      <c r="O217" s="1" t="s">
        <v>1165</v>
      </c>
      <c r="Q217" s="1" t="s">
        <v>1178</v>
      </c>
      <c r="R217" s="2">
        <v>56073</v>
      </c>
      <c r="S217" s="44">
        <v>44.317464000000001</v>
      </c>
      <c r="T217" s="45">
        <v>-94.456711999999996</v>
      </c>
      <c r="U217" s="1" t="s">
        <v>60</v>
      </c>
      <c r="V217" s="1"/>
      <c r="W217" s="1"/>
      <c r="X217" s="1"/>
      <c r="Y217" s="1"/>
      <c r="Z217" s="1"/>
      <c r="AA217" s="1"/>
      <c r="AB217" s="1"/>
      <c r="AC217" s="2" t="s">
        <v>120</v>
      </c>
      <c r="AD217" s="2">
        <f t="shared" si="3"/>
        <v>2018</v>
      </c>
    </row>
    <row r="218" spans="1:30" hidden="1">
      <c r="A218" s="1" t="s">
        <v>945</v>
      </c>
      <c r="B218" s="3">
        <v>43431</v>
      </c>
      <c r="C218" s="1" t="s">
        <v>39</v>
      </c>
      <c r="D218" s="1" t="s">
        <v>415</v>
      </c>
      <c r="E218" s="1" t="s">
        <v>395</v>
      </c>
      <c r="F218" s="1" t="s">
        <v>34</v>
      </c>
      <c r="G218" s="2" t="s">
        <v>1179</v>
      </c>
      <c r="H218" s="1" t="s">
        <v>68</v>
      </c>
      <c r="I218" s="6">
        <v>60000000</v>
      </c>
      <c r="J218" s="4"/>
      <c r="L218" s="4"/>
      <c r="M218" s="1"/>
      <c r="N218" s="1" t="s">
        <v>37</v>
      </c>
      <c r="O218" s="1" t="s">
        <v>1180</v>
      </c>
      <c r="Q218" s="1" t="s">
        <v>1181</v>
      </c>
      <c r="R218" s="2">
        <v>56303</v>
      </c>
      <c r="S218" s="44">
        <v>45.575158000000002</v>
      </c>
      <c r="T218" s="45">
        <v>-94.170209</v>
      </c>
      <c r="U218" s="1"/>
      <c r="V218" s="1"/>
      <c r="W218" s="1"/>
      <c r="X218" s="1"/>
      <c r="Y218" s="1"/>
      <c r="Z218" s="1"/>
      <c r="AA218" s="1"/>
      <c r="AB218" s="1"/>
      <c r="AC218" s="2" t="s">
        <v>41</v>
      </c>
      <c r="AD218" s="2">
        <f t="shared" si="3"/>
        <v>2018</v>
      </c>
    </row>
    <row r="219" spans="1:30" hidden="1">
      <c r="A219" s="1" t="s">
        <v>945</v>
      </c>
      <c r="B219" s="3">
        <v>43432</v>
      </c>
      <c r="C219" s="1" t="s">
        <v>1182</v>
      </c>
      <c r="D219" s="1" t="s">
        <v>90</v>
      </c>
      <c r="E219" s="1" t="s">
        <v>91</v>
      </c>
      <c r="F219" s="1" t="s">
        <v>34</v>
      </c>
      <c r="G219" s="2" t="s">
        <v>1183</v>
      </c>
      <c r="H219" s="1" t="s">
        <v>188</v>
      </c>
      <c r="I219" s="6">
        <v>300000000</v>
      </c>
      <c r="J219" s="4"/>
      <c r="L219" s="4"/>
      <c r="M219" s="1"/>
      <c r="N219" s="1" t="s">
        <v>37</v>
      </c>
      <c r="O219" s="1" t="s">
        <v>1184</v>
      </c>
      <c r="Q219" s="1" t="s">
        <v>1185</v>
      </c>
      <c r="R219" s="2">
        <v>55805</v>
      </c>
      <c r="S219" s="2">
        <v>46.796398199999999</v>
      </c>
      <c r="T219" s="2">
        <v>-92.087898300000006</v>
      </c>
      <c r="U219" s="1"/>
      <c r="V219" s="1"/>
      <c r="W219" s="1"/>
      <c r="X219" s="1"/>
      <c r="Z219" s="1"/>
      <c r="AA219" s="1"/>
      <c r="AB219" s="1"/>
      <c r="AC219" s="2" t="s">
        <v>97</v>
      </c>
      <c r="AD219" s="2">
        <f t="shared" si="3"/>
        <v>2018</v>
      </c>
    </row>
    <row r="220" spans="1:30" ht="15.75" hidden="1">
      <c r="A220" s="1" t="s">
        <v>945</v>
      </c>
      <c r="B220" s="3">
        <v>43433</v>
      </c>
      <c r="C220" s="1" t="s">
        <v>1186</v>
      </c>
      <c r="D220" s="1" t="s">
        <v>528</v>
      </c>
      <c r="E220" s="1" t="s">
        <v>66</v>
      </c>
      <c r="F220" s="1" t="s">
        <v>34</v>
      </c>
      <c r="G220" s="2" t="s">
        <v>1187</v>
      </c>
      <c r="H220" s="1" t="s">
        <v>68</v>
      </c>
      <c r="I220" s="6"/>
      <c r="J220" s="4">
        <v>80</v>
      </c>
      <c r="L220" s="4"/>
      <c r="M220" s="1" t="s">
        <v>85</v>
      </c>
      <c r="N220" s="1" t="s">
        <v>86</v>
      </c>
      <c r="O220" s="1" t="s">
        <v>1188</v>
      </c>
      <c r="Q220" s="153" t="s">
        <v>1189</v>
      </c>
      <c r="R220" s="2">
        <v>55431</v>
      </c>
      <c r="S220" s="44">
        <v>44.833376999999999</v>
      </c>
      <c r="T220" s="45">
        <v>-93.296475000000001</v>
      </c>
      <c r="U220" s="1" t="s">
        <v>143</v>
      </c>
      <c r="V220" s="1"/>
      <c r="W220" s="1"/>
      <c r="X220" s="1"/>
      <c r="Y220" s="1"/>
      <c r="Z220" s="1"/>
      <c r="AA220" s="1"/>
      <c r="AB220" s="1"/>
      <c r="AC220" s="2" t="s">
        <v>51</v>
      </c>
      <c r="AD220" s="2">
        <f t="shared" si="3"/>
        <v>2018</v>
      </c>
    </row>
    <row r="221" spans="1:30" hidden="1">
      <c r="A221" s="1" t="s">
        <v>945</v>
      </c>
      <c r="B221" s="3">
        <v>43434</v>
      </c>
      <c r="C221" s="1" t="s">
        <v>1190</v>
      </c>
      <c r="D221" s="1" t="s">
        <v>65</v>
      </c>
      <c r="E221" s="1" t="s">
        <v>66</v>
      </c>
      <c r="F221" s="1" t="s">
        <v>34</v>
      </c>
      <c r="G221" s="2" t="s">
        <v>1191</v>
      </c>
      <c r="H221" s="1" t="s">
        <v>68</v>
      </c>
      <c r="I221" s="6"/>
      <c r="J221" s="4">
        <v>6</v>
      </c>
      <c r="L221" s="4">
        <v>3300</v>
      </c>
      <c r="M221" s="1" t="s">
        <v>318</v>
      </c>
      <c r="N221" s="1" t="s">
        <v>86</v>
      </c>
      <c r="O221" s="1" t="s">
        <v>1192</v>
      </c>
      <c r="Q221" s="1" t="s">
        <v>1193</v>
      </c>
      <c r="R221" s="2">
        <v>55402</v>
      </c>
      <c r="S221" s="44">
        <v>44.973908000000002</v>
      </c>
      <c r="T221" s="45">
        <v>-93.272418999999999</v>
      </c>
      <c r="U221" s="1"/>
      <c r="V221" s="1"/>
      <c r="W221" s="1"/>
      <c r="X221" s="1"/>
      <c r="Y221" s="1"/>
      <c r="Z221" s="1"/>
      <c r="AA221" s="1"/>
      <c r="AB221" s="1"/>
      <c r="AC221" s="2" t="s">
        <v>51</v>
      </c>
      <c r="AD221" s="2">
        <f t="shared" si="3"/>
        <v>2018</v>
      </c>
    </row>
    <row r="222" spans="1:30" hidden="1">
      <c r="A222" s="1" t="s">
        <v>945</v>
      </c>
      <c r="B222" s="3">
        <v>43434</v>
      </c>
      <c r="C222" s="1" t="s">
        <v>1194</v>
      </c>
      <c r="D222" s="1" t="s">
        <v>65</v>
      </c>
      <c r="E222" s="1" t="s">
        <v>66</v>
      </c>
      <c r="F222" s="1" t="s">
        <v>34</v>
      </c>
      <c r="G222" s="2" t="s">
        <v>1195</v>
      </c>
      <c r="H222" s="1" t="s">
        <v>188</v>
      </c>
      <c r="I222" s="6"/>
      <c r="J222" s="4"/>
      <c r="L222" s="4"/>
      <c r="M222" s="1"/>
      <c r="N222" s="1" t="s">
        <v>140</v>
      </c>
      <c r="O222" s="1" t="s">
        <v>1196</v>
      </c>
      <c r="Q222" s="1" t="s">
        <v>1197</v>
      </c>
      <c r="R222" s="2">
        <v>55402</v>
      </c>
      <c r="S222" s="2">
        <v>44.977298699999999</v>
      </c>
      <c r="T222" s="2">
        <v>-93.269500699999995</v>
      </c>
      <c r="U222" s="1"/>
      <c r="V222" s="1"/>
      <c r="W222" s="1"/>
      <c r="X222" s="1"/>
      <c r="Y222" s="1"/>
      <c r="Z222" s="1"/>
      <c r="AA222" s="1"/>
      <c r="AB222" s="1"/>
      <c r="AC222" s="2" t="s">
        <v>51</v>
      </c>
      <c r="AD222" s="2">
        <f t="shared" si="3"/>
        <v>2018</v>
      </c>
    </row>
    <row r="223" spans="1:30" hidden="1">
      <c r="A223" s="1" t="s">
        <v>945</v>
      </c>
      <c r="B223" s="3">
        <v>43435</v>
      </c>
      <c r="C223" s="1" t="s">
        <v>1198</v>
      </c>
      <c r="D223" s="1" t="s">
        <v>65</v>
      </c>
      <c r="E223" s="1" t="s">
        <v>66</v>
      </c>
      <c r="F223" s="1" t="s">
        <v>34</v>
      </c>
      <c r="G223" s="2" t="s">
        <v>1199</v>
      </c>
      <c r="H223" s="1" t="s">
        <v>68</v>
      </c>
      <c r="I223" s="9"/>
      <c r="J223" s="4"/>
      <c r="L223" s="4"/>
      <c r="M223" s="1" t="s">
        <v>299</v>
      </c>
      <c r="N223" s="1" t="s">
        <v>300</v>
      </c>
      <c r="O223" s="1" t="s">
        <v>1200</v>
      </c>
      <c r="Q223" s="1" t="s">
        <v>114</v>
      </c>
      <c r="R223" s="2">
        <v>55401</v>
      </c>
      <c r="S223" s="44">
        <v>44.984577000000002</v>
      </c>
      <c r="T223" s="45">
        <v>-93.269097000000002</v>
      </c>
      <c r="U223" s="1"/>
      <c r="V223" s="1"/>
      <c r="W223" s="1"/>
      <c r="X223" s="1"/>
      <c r="Y223" s="1"/>
      <c r="Z223" s="1"/>
      <c r="AA223" s="1"/>
      <c r="AB223" s="1"/>
      <c r="AC223" s="2" t="s">
        <v>51</v>
      </c>
      <c r="AD223" s="2">
        <f t="shared" si="3"/>
        <v>2018</v>
      </c>
    </row>
    <row r="224" spans="1:30" hidden="1">
      <c r="A224" s="1" t="s">
        <v>945</v>
      </c>
      <c r="B224" s="3">
        <v>43438</v>
      </c>
      <c r="C224" s="1" t="s">
        <v>1201</v>
      </c>
      <c r="D224" s="1" t="s">
        <v>625</v>
      </c>
      <c r="E224" s="1" t="s">
        <v>182</v>
      </c>
      <c r="F224" s="1" t="s">
        <v>34</v>
      </c>
      <c r="G224" s="2" t="s">
        <v>1202</v>
      </c>
      <c r="H224" s="1" t="s">
        <v>1107</v>
      </c>
      <c r="I224" s="6"/>
      <c r="J224" s="4"/>
      <c r="L224" s="4"/>
      <c r="M224" s="1"/>
      <c r="N224" s="1" t="s">
        <v>253</v>
      </c>
      <c r="O224" s="1" t="s">
        <v>1203</v>
      </c>
      <c r="Q224" s="1" t="s">
        <v>1204</v>
      </c>
      <c r="R224" s="2">
        <v>56003</v>
      </c>
      <c r="S224" s="44">
        <v>44.173459999999999</v>
      </c>
      <c r="T224" s="45">
        <v>-94.043799000000007</v>
      </c>
      <c r="U224" s="1"/>
      <c r="V224" s="1"/>
      <c r="W224" s="1"/>
      <c r="X224" s="1"/>
      <c r="Y224" s="1" t="s">
        <v>1201</v>
      </c>
      <c r="Z224" s="1" t="s">
        <v>1205</v>
      </c>
      <c r="AA224" s="1" t="s">
        <v>34</v>
      </c>
      <c r="AB224" s="1"/>
      <c r="AC224" s="2" t="s">
        <v>120</v>
      </c>
      <c r="AD224" s="2">
        <f t="shared" si="3"/>
        <v>2018</v>
      </c>
    </row>
    <row r="225" spans="1:30" hidden="1">
      <c r="A225" s="1" t="s">
        <v>945</v>
      </c>
      <c r="B225" s="3">
        <v>43439</v>
      </c>
      <c r="C225" s="1" t="s">
        <v>1206</v>
      </c>
      <c r="D225" s="1" t="s">
        <v>96</v>
      </c>
      <c r="E225" s="1" t="s">
        <v>99</v>
      </c>
      <c r="F225" s="1" t="s">
        <v>34</v>
      </c>
      <c r="G225" s="2" t="s">
        <v>1207</v>
      </c>
      <c r="H225" s="1"/>
      <c r="I225" s="9"/>
      <c r="J225" s="4">
        <v>36</v>
      </c>
      <c r="L225" s="4"/>
      <c r="M225" s="1" t="s">
        <v>1208</v>
      </c>
      <c r="N225" s="1" t="s">
        <v>48</v>
      </c>
      <c r="O225" s="1" t="s">
        <v>1209</v>
      </c>
      <c r="Q225" s="1" t="s">
        <v>1210</v>
      </c>
      <c r="R225" s="2">
        <v>55102</v>
      </c>
      <c r="S225" s="44">
        <v>44.924934999999998</v>
      </c>
      <c r="T225" s="45">
        <v>-93.126534000000007</v>
      </c>
      <c r="U225" s="1"/>
      <c r="V225" s="1"/>
      <c r="W225" s="1"/>
      <c r="X225" s="1"/>
      <c r="Y225" s="1"/>
      <c r="Z225" s="1"/>
      <c r="AA225" s="1"/>
      <c r="AB225" s="1"/>
      <c r="AC225" s="2" t="s">
        <v>51</v>
      </c>
      <c r="AD225" s="2">
        <f t="shared" si="3"/>
        <v>2018</v>
      </c>
    </row>
    <row r="226" spans="1:30" hidden="1">
      <c r="A226" s="1" t="s">
        <v>945</v>
      </c>
      <c r="B226" s="3">
        <v>43441</v>
      </c>
      <c r="C226" s="1" t="s">
        <v>1211</v>
      </c>
      <c r="D226" s="1" t="s">
        <v>1212</v>
      </c>
      <c r="E226" s="1" t="s">
        <v>1213</v>
      </c>
      <c r="F226" s="1" t="s">
        <v>34</v>
      </c>
      <c r="G226" s="2" t="s">
        <v>1214</v>
      </c>
      <c r="H226" s="1" t="s">
        <v>48</v>
      </c>
      <c r="I226" s="6">
        <v>1080000</v>
      </c>
      <c r="J226" s="4">
        <v>14</v>
      </c>
      <c r="L226" s="4">
        <v>15000</v>
      </c>
      <c r="M226" s="1" t="s">
        <v>417</v>
      </c>
      <c r="N226" s="1" t="s">
        <v>48</v>
      </c>
      <c r="O226" s="1"/>
      <c r="Q226" s="49" t="s">
        <v>1215</v>
      </c>
      <c r="R226" s="2">
        <v>55051</v>
      </c>
      <c r="S226" s="44">
        <v>45.881200999999997</v>
      </c>
      <c r="T226" s="45">
        <v>-93.273011999999994</v>
      </c>
      <c r="U226" s="1" t="s">
        <v>60</v>
      </c>
      <c r="V226" s="1"/>
      <c r="W226" s="1"/>
      <c r="X226" s="1"/>
      <c r="Y226" s="1"/>
      <c r="Z226" s="1"/>
      <c r="AA226" s="1"/>
      <c r="AB226" s="1"/>
      <c r="AC226" s="2" t="s">
        <v>41</v>
      </c>
      <c r="AD226" s="2">
        <f t="shared" si="3"/>
        <v>2018</v>
      </c>
    </row>
    <row r="227" spans="1:30" hidden="1">
      <c r="A227" s="1" t="s">
        <v>945</v>
      </c>
      <c r="B227" s="3">
        <v>43445</v>
      </c>
      <c r="C227" s="1" t="s">
        <v>1216</v>
      </c>
      <c r="D227" s="1" t="s">
        <v>165</v>
      </c>
      <c r="E227" s="1" t="s">
        <v>66</v>
      </c>
      <c r="F227" s="1" t="s">
        <v>34</v>
      </c>
      <c r="G227" s="2" t="s">
        <v>1217</v>
      </c>
      <c r="H227" s="1" t="s">
        <v>272</v>
      </c>
      <c r="I227" s="9"/>
      <c r="J227" s="4">
        <v>10</v>
      </c>
      <c r="L227" s="4"/>
      <c r="M227" s="1" t="s">
        <v>167</v>
      </c>
      <c r="N227" s="1" t="s">
        <v>48</v>
      </c>
      <c r="O227" s="1" t="s">
        <v>1218</v>
      </c>
      <c r="Q227" s="1" t="s">
        <v>1219</v>
      </c>
      <c r="R227" s="2">
        <v>55369</v>
      </c>
      <c r="S227" s="2">
        <v>45.089714299999997</v>
      </c>
      <c r="T227" s="2">
        <v>-93.436312400000006</v>
      </c>
      <c r="U227" s="1" t="s">
        <v>143</v>
      </c>
      <c r="V227" s="1"/>
      <c r="W227" s="1"/>
      <c r="X227" s="1"/>
      <c r="Z227" s="1"/>
      <c r="AA227" s="1"/>
      <c r="AB227" s="1"/>
      <c r="AC227" s="2" t="s">
        <v>51</v>
      </c>
      <c r="AD227" s="2">
        <f t="shared" si="3"/>
        <v>2018</v>
      </c>
    </row>
    <row r="228" spans="1:30" ht="15.75" hidden="1">
      <c r="A228" s="1" t="s">
        <v>945</v>
      </c>
      <c r="B228" s="3">
        <v>43445</v>
      </c>
      <c r="C228" s="1" t="s">
        <v>1220</v>
      </c>
      <c r="D228" s="1" t="s">
        <v>197</v>
      </c>
      <c r="E228" s="1" t="s">
        <v>99</v>
      </c>
      <c r="F228" s="1" t="s">
        <v>34</v>
      </c>
      <c r="G228" s="2" t="s">
        <v>1221</v>
      </c>
      <c r="H228" s="1" t="s">
        <v>188</v>
      </c>
      <c r="I228" s="6"/>
      <c r="J228" s="4">
        <v>75</v>
      </c>
      <c r="L228" s="4">
        <v>23000</v>
      </c>
      <c r="M228" s="1"/>
      <c r="N228" s="2" t="s">
        <v>610</v>
      </c>
      <c r="O228" s="1" t="s">
        <v>1222</v>
      </c>
      <c r="Q228" s="153" t="s">
        <v>1223</v>
      </c>
      <c r="R228" s="2">
        <v>55113</v>
      </c>
      <c r="S228" s="44">
        <v>45.012901999999997</v>
      </c>
      <c r="T228" s="45">
        <v>-93.170091999999997</v>
      </c>
      <c r="U228" s="1"/>
      <c r="V228" s="1"/>
      <c r="W228" s="1"/>
      <c r="X228" s="1"/>
      <c r="Y228" s="1"/>
      <c r="Z228" s="1"/>
      <c r="AA228" s="1"/>
      <c r="AB228" s="1"/>
      <c r="AC228" s="2" t="s">
        <v>51</v>
      </c>
      <c r="AD228" s="2">
        <f t="shared" si="3"/>
        <v>2018</v>
      </c>
    </row>
    <row r="229" spans="1:30" hidden="1">
      <c r="A229" s="1" t="s">
        <v>945</v>
      </c>
      <c r="B229" s="3">
        <v>43446</v>
      </c>
      <c r="C229" s="1" t="s">
        <v>1224</v>
      </c>
      <c r="D229" s="1" t="s">
        <v>467</v>
      </c>
      <c r="E229" s="1" t="s">
        <v>468</v>
      </c>
      <c r="F229" s="1" t="s">
        <v>34</v>
      </c>
      <c r="G229" s="2" t="s">
        <v>1225</v>
      </c>
      <c r="H229" s="1" t="s">
        <v>56</v>
      </c>
      <c r="I229" s="6">
        <v>14000000</v>
      </c>
      <c r="J229" s="4">
        <v>16</v>
      </c>
      <c r="L229" s="4"/>
      <c r="M229" s="1" t="s">
        <v>125</v>
      </c>
      <c r="N229" s="1" t="s">
        <v>48</v>
      </c>
      <c r="O229" s="1" t="s">
        <v>1226</v>
      </c>
      <c r="Q229" s="1" t="s">
        <v>1227</v>
      </c>
      <c r="R229" s="2">
        <v>55021</v>
      </c>
      <c r="S229" s="2">
        <v>44.328389000000001</v>
      </c>
      <c r="T229" s="2">
        <v>-93.291444999999996</v>
      </c>
      <c r="U229" s="1"/>
      <c r="V229" s="1"/>
      <c r="W229" s="1"/>
      <c r="X229" s="1" t="s">
        <v>116</v>
      </c>
      <c r="Y229" s="2" t="s">
        <v>1228</v>
      </c>
      <c r="AA229" s="1"/>
      <c r="AB229" s="1" t="s">
        <v>719</v>
      </c>
      <c r="AC229" s="2" t="s">
        <v>120</v>
      </c>
      <c r="AD229" s="2">
        <f t="shared" si="3"/>
        <v>2018</v>
      </c>
    </row>
    <row r="230" spans="1:30" hidden="1">
      <c r="A230" s="1" t="s">
        <v>945</v>
      </c>
      <c r="B230" s="3">
        <v>43447</v>
      </c>
      <c r="C230" s="1" t="s">
        <v>1229</v>
      </c>
      <c r="D230" s="1" t="s">
        <v>591</v>
      </c>
      <c r="E230" s="1" t="s">
        <v>66</v>
      </c>
      <c r="F230" s="1" t="s">
        <v>34</v>
      </c>
      <c r="G230" s="2" t="s">
        <v>1230</v>
      </c>
      <c r="H230" s="1" t="s">
        <v>68</v>
      </c>
      <c r="I230" s="9"/>
      <c r="J230" s="4">
        <v>6</v>
      </c>
      <c r="L230" s="4"/>
      <c r="M230" s="1" t="s">
        <v>1208</v>
      </c>
      <c r="N230" s="1" t="s">
        <v>48</v>
      </c>
      <c r="O230" s="1" t="s">
        <v>1231</v>
      </c>
      <c r="Q230" s="1" t="s">
        <v>1232</v>
      </c>
      <c r="R230" s="2">
        <v>55343</v>
      </c>
      <c r="S230" s="44">
        <v>44.904749000000002</v>
      </c>
      <c r="T230" s="45">
        <v>-93.419859000000002</v>
      </c>
      <c r="U230" s="1"/>
      <c r="V230" s="1"/>
      <c r="W230" s="1"/>
      <c r="X230" s="1"/>
      <c r="Y230" s="1"/>
      <c r="Z230" s="1"/>
      <c r="AA230" s="1"/>
      <c r="AB230" s="1"/>
      <c r="AC230" s="2" t="s">
        <v>51</v>
      </c>
      <c r="AD230" s="2">
        <f t="shared" si="3"/>
        <v>2018</v>
      </c>
    </row>
    <row r="231" spans="1:30" hidden="1">
      <c r="A231" s="1" t="s">
        <v>945</v>
      </c>
      <c r="B231" s="3">
        <v>43447</v>
      </c>
      <c r="C231" s="1" t="s">
        <v>1233</v>
      </c>
      <c r="D231" s="1" t="s">
        <v>528</v>
      </c>
      <c r="E231" s="1" t="s">
        <v>66</v>
      </c>
      <c r="F231" s="1" t="s">
        <v>34</v>
      </c>
      <c r="G231" s="2" t="s">
        <v>1234</v>
      </c>
      <c r="H231" s="1" t="s">
        <v>188</v>
      </c>
      <c r="I231" s="9">
        <v>1000000</v>
      </c>
      <c r="J231" s="4"/>
      <c r="L231" s="4"/>
      <c r="M231" s="1"/>
      <c r="N231" s="2" t="s">
        <v>610</v>
      </c>
      <c r="O231" s="1" t="s">
        <v>1235</v>
      </c>
      <c r="Q231" s="1" t="s">
        <v>1236</v>
      </c>
      <c r="R231" s="2">
        <v>55425</v>
      </c>
      <c r="S231" s="2">
        <v>44.853900899999999</v>
      </c>
      <c r="T231" s="2">
        <v>-93.240501399999999</v>
      </c>
      <c r="U231" s="1"/>
      <c r="V231" s="1"/>
      <c r="W231" s="1"/>
      <c r="X231" s="1" t="s">
        <v>116</v>
      </c>
      <c r="Y231" s="1" t="s">
        <v>1237</v>
      </c>
      <c r="Z231" s="1" t="s">
        <v>1238</v>
      </c>
      <c r="AA231" s="1"/>
      <c r="AB231" s="1" t="s">
        <v>172</v>
      </c>
      <c r="AC231" s="2" t="s">
        <v>51</v>
      </c>
      <c r="AD231" s="2">
        <f t="shared" si="3"/>
        <v>2018</v>
      </c>
    </row>
    <row r="232" spans="1:30" hidden="1">
      <c r="A232" s="2" t="s">
        <v>945</v>
      </c>
      <c r="B232" s="3">
        <v>43465</v>
      </c>
      <c r="C232" s="1" t="s">
        <v>1239</v>
      </c>
      <c r="D232" s="1" t="s">
        <v>65</v>
      </c>
      <c r="E232" s="1" t="s">
        <v>66</v>
      </c>
      <c r="F232" s="1" t="s">
        <v>34</v>
      </c>
      <c r="G232" s="2" t="s">
        <v>1240</v>
      </c>
      <c r="H232" s="1" t="s">
        <v>68</v>
      </c>
      <c r="I232" s="6"/>
      <c r="J232" s="4"/>
      <c r="L232" s="5">
        <f>ROUND(135000*0.75,-3)</f>
        <v>101000</v>
      </c>
      <c r="N232" s="1" t="s">
        <v>253</v>
      </c>
      <c r="O232" s="7" t="s">
        <v>1241</v>
      </c>
      <c r="P232" s="1" t="s">
        <v>965</v>
      </c>
      <c r="Q232" s="1" t="s">
        <v>1242</v>
      </c>
      <c r="R232" s="2">
        <v>55414</v>
      </c>
      <c r="S232" s="2">
        <v>44.980761999999999</v>
      </c>
      <c r="T232" s="2">
        <v>-93.216716000000005</v>
      </c>
      <c r="U232" s="1"/>
      <c r="V232" s="1"/>
      <c r="W232" s="1"/>
      <c r="X232" s="1"/>
      <c r="Y232" s="1"/>
      <c r="Z232" s="1"/>
      <c r="AA232" s="1"/>
      <c r="AB232" s="3"/>
      <c r="AC232" s="1" t="s">
        <v>51</v>
      </c>
      <c r="AD232" s="2">
        <f t="shared" si="3"/>
        <v>2018</v>
      </c>
    </row>
    <row r="233" spans="1:30" hidden="1">
      <c r="A233" s="1" t="s">
        <v>945</v>
      </c>
      <c r="B233" s="3">
        <v>43465</v>
      </c>
      <c r="C233" s="1" t="s">
        <v>1243</v>
      </c>
      <c r="D233" s="1" t="s">
        <v>340</v>
      </c>
      <c r="E233" s="1" t="s">
        <v>66</v>
      </c>
      <c r="F233" s="1" t="s">
        <v>34</v>
      </c>
      <c r="G233" s="2" t="s">
        <v>1244</v>
      </c>
      <c r="H233" s="1" t="s">
        <v>68</v>
      </c>
      <c r="I233" s="6"/>
      <c r="J233" s="4">
        <v>5</v>
      </c>
      <c r="L233" s="4">
        <v>700000</v>
      </c>
      <c r="M233" s="1" t="s">
        <v>1245</v>
      </c>
      <c r="N233" s="1" t="s">
        <v>86</v>
      </c>
      <c r="O233" s="1" t="s">
        <v>1246</v>
      </c>
      <c r="Q233" s="1"/>
      <c r="R233" s="1"/>
      <c r="S233" s="2">
        <v>45.083099400000002</v>
      </c>
      <c r="T233" s="2">
        <v>-93.390701300000003</v>
      </c>
      <c r="U233" s="1"/>
      <c r="V233" s="1"/>
      <c r="W233" s="1"/>
      <c r="X233" s="1"/>
      <c r="Y233" s="1"/>
      <c r="Z233" s="1"/>
      <c r="AA233" s="1"/>
      <c r="AB233" s="1"/>
      <c r="AC233" s="2" t="s">
        <v>51</v>
      </c>
      <c r="AD233" s="2">
        <f t="shared" si="3"/>
        <v>2018</v>
      </c>
    </row>
    <row r="234" spans="1:30" hidden="1">
      <c r="A234" s="1" t="s">
        <v>945</v>
      </c>
      <c r="B234" s="3">
        <v>43465</v>
      </c>
      <c r="C234" s="1" t="s">
        <v>1247</v>
      </c>
      <c r="D234" s="1" t="s">
        <v>292</v>
      </c>
      <c r="E234" s="1" t="s">
        <v>66</v>
      </c>
      <c r="F234" s="1" t="s">
        <v>34</v>
      </c>
      <c r="G234" s="2" t="s">
        <v>1248</v>
      </c>
      <c r="H234" s="1" t="s">
        <v>48</v>
      </c>
      <c r="I234" s="6">
        <v>750000</v>
      </c>
      <c r="J234" s="4"/>
      <c r="L234" s="4">
        <v>23000</v>
      </c>
      <c r="M234" s="1" t="s">
        <v>93</v>
      </c>
      <c r="N234" s="1" t="s">
        <v>48</v>
      </c>
      <c r="O234" s="1" t="s">
        <v>1249</v>
      </c>
      <c r="Q234" s="1" t="s">
        <v>1250</v>
      </c>
      <c r="R234" s="2">
        <v>55429</v>
      </c>
      <c r="S234" s="50">
        <v>45.046559999999999</v>
      </c>
      <c r="T234" s="50">
        <v>-93.332577000000001</v>
      </c>
      <c r="U234" s="1"/>
      <c r="V234" s="1"/>
      <c r="W234" s="1"/>
      <c r="X234" s="1"/>
      <c r="Y234" s="1"/>
      <c r="AC234" s="2" t="s">
        <v>51</v>
      </c>
      <c r="AD234" s="2">
        <f t="shared" si="3"/>
        <v>2018</v>
      </c>
    </row>
    <row r="235" spans="1:30" hidden="1">
      <c r="A235" s="1" t="s">
        <v>945</v>
      </c>
      <c r="B235" s="3">
        <v>43465</v>
      </c>
      <c r="C235" s="1" t="s">
        <v>1251</v>
      </c>
      <c r="D235" s="1" t="s">
        <v>1252</v>
      </c>
      <c r="E235" s="1" t="s">
        <v>1253</v>
      </c>
      <c r="F235" s="1" t="s">
        <v>34</v>
      </c>
      <c r="G235" s="2" t="s">
        <v>1254</v>
      </c>
      <c r="H235" s="1" t="s">
        <v>68</v>
      </c>
      <c r="I235" s="6"/>
      <c r="J235" s="4"/>
      <c r="L235" s="4">
        <v>132000</v>
      </c>
      <c r="M235" s="1"/>
      <c r="N235" s="1" t="s">
        <v>762</v>
      </c>
      <c r="O235" s="1" t="s">
        <v>1255</v>
      </c>
      <c r="Q235" s="1" t="s">
        <v>1256</v>
      </c>
      <c r="R235" s="2">
        <v>55049</v>
      </c>
      <c r="S235" s="44">
        <v>44.146053000000002</v>
      </c>
      <c r="T235" s="45">
        <v>-93.257930999999999</v>
      </c>
      <c r="U235" s="1"/>
      <c r="V235" s="1"/>
      <c r="W235" s="1"/>
      <c r="X235" s="1"/>
      <c r="Y235" s="1"/>
      <c r="Z235" s="1"/>
      <c r="AA235" s="1"/>
      <c r="AB235" s="1"/>
      <c r="AC235" s="2" t="s">
        <v>120</v>
      </c>
      <c r="AD235" s="2">
        <f t="shared" si="3"/>
        <v>2018</v>
      </c>
    </row>
    <row r="236" spans="1:30" hidden="1">
      <c r="A236" s="1" t="s">
        <v>945</v>
      </c>
      <c r="B236" s="3">
        <v>43465</v>
      </c>
      <c r="C236" s="1" t="s">
        <v>1257</v>
      </c>
      <c r="D236" s="1" t="s">
        <v>65</v>
      </c>
      <c r="E236" s="1" t="s">
        <v>66</v>
      </c>
      <c r="F236" s="1" t="s">
        <v>34</v>
      </c>
      <c r="G236" s="2" t="s">
        <v>1258</v>
      </c>
      <c r="H236" s="1" t="s">
        <v>68</v>
      </c>
      <c r="I236" s="6">
        <v>600000</v>
      </c>
      <c r="J236" s="4"/>
      <c r="L236" s="4"/>
      <c r="M236" s="2" t="s">
        <v>159</v>
      </c>
      <c r="N236" s="1" t="s">
        <v>86</v>
      </c>
      <c r="O236" s="1" t="s">
        <v>1259</v>
      </c>
      <c r="Q236" s="1" t="s">
        <v>1260</v>
      </c>
      <c r="R236" s="2">
        <v>55402</v>
      </c>
      <c r="S236" s="2">
        <v>44.974207999999997</v>
      </c>
      <c r="T236" s="2">
        <v>-93.274047999999993</v>
      </c>
      <c r="U236" s="1"/>
      <c r="V236" s="1"/>
      <c r="W236" s="1"/>
      <c r="X236" s="1"/>
      <c r="Y236" s="1"/>
      <c r="Z236" s="1"/>
      <c r="AA236" s="1"/>
      <c r="AB236" s="1"/>
      <c r="AC236" s="2" t="s">
        <v>51</v>
      </c>
      <c r="AD236" s="2">
        <f t="shared" si="3"/>
        <v>2018</v>
      </c>
    </row>
    <row r="237" spans="1:30" hidden="1">
      <c r="A237" s="2" t="s">
        <v>1261</v>
      </c>
      <c r="B237" s="3">
        <v>43473</v>
      </c>
      <c r="C237" s="1" t="s">
        <v>1262</v>
      </c>
      <c r="D237" s="1" t="s">
        <v>65</v>
      </c>
      <c r="E237" s="1" t="s">
        <v>66</v>
      </c>
      <c r="F237" s="1" t="s">
        <v>34</v>
      </c>
      <c r="G237" s="2" t="s">
        <v>1263</v>
      </c>
      <c r="H237" s="1" t="s">
        <v>101</v>
      </c>
      <c r="I237" s="6"/>
      <c r="J237" s="4">
        <v>3</v>
      </c>
      <c r="L237" s="4"/>
      <c r="M237" s="1" t="s">
        <v>318</v>
      </c>
      <c r="N237" s="1" t="s">
        <v>86</v>
      </c>
      <c r="O237" s="1" t="s">
        <v>1264</v>
      </c>
      <c r="P237" s="1" t="s">
        <v>965</v>
      </c>
      <c r="Q237" s="1" t="s">
        <v>1265</v>
      </c>
      <c r="R237" s="2">
        <v>55402</v>
      </c>
      <c r="S237" s="2">
        <v>44.978382000000003</v>
      </c>
      <c r="T237" s="2">
        <v>-93.269256999999996</v>
      </c>
      <c r="U237" s="1"/>
      <c r="V237" s="1"/>
      <c r="W237" s="5"/>
      <c r="X237" s="1"/>
      <c r="Y237" s="1" t="s">
        <v>1262</v>
      </c>
      <c r="Z237" s="1" t="s">
        <v>1266</v>
      </c>
      <c r="AA237" s="1" t="s">
        <v>209</v>
      </c>
      <c r="AB237" s="1"/>
      <c r="AC237" s="2" t="s">
        <v>51</v>
      </c>
      <c r="AD237" s="2">
        <f t="shared" si="3"/>
        <v>2019</v>
      </c>
    </row>
    <row r="238" spans="1:30" hidden="1">
      <c r="A238" s="2" t="s">
        <v>1261</v>
      </c>
      <c r="B238" s="3">
        <v>43473</v>
      </c>
      <c r="C238" s="1" t="s">
        <v>600</v>
      </c>
      <c r="D238" s="1" t="s">
        <v>203</v>
      </c>
      <c r="E238" s="1" t="s">
        <v>74</v>
      </c>
      <c r="F238" s="1" t="s">
        <v>34</v>
      </c>
      <c r="G238" s="2" t="s">
        <v>1267</v>
      </c>
      <c r="H238" s="1" t="s">
        <v>68</v>
      </c>
      <c r="I238" s="6"/>
      <c r="J238" s="4">
        <v>160</v>
      </c>
      <c r="L238" s="4"/>
      <c r="M238" s="1"/>
      <c r="N238" s="1" t="s">
        <v>77</v>
      </c>
      <c r="O238" s="1" t="s">
        <v>1268</v>
      </c>
      <c r="P238" s="2" t="s">
        <v>285</v>
      </c>
      <c r="Q238" s="1" t="s">
        <v>1269</v>
      </c>
      <c r="R238" s="2">
        <v>55121</v>
      </c>
      <c r="S238" s="2">
        <v>44.855744000000001</v>
      </c>
      <c r="T238" s="2">
        <v>-93.161086999999995</v>
      </c>
      <c r="U238" s="1"/>
      <c r="V238" s="1"/>
      <c r="W238" s="1"/>
      <c r="X238" s="1"/>
      <c r="Y238" s="1"/>
      <c r="Z238" s="1"/>
      <c r="AA238" s="1"/>
      <c r="AB238" s="1"/>
      <c r="AC238" s="2" t="s">
        <v>51</v>
      </c>
      <c r="AD238" s="2">
        <f t="shared" si="3"/>
        <v>2019</v>
      </c>
    </row>
    <row r="239" spans="1:30" hidden="1">
      <c r="A239" s="2" t="s">
        <v>1261</v>
      </c>
      <c r="B239" s="3">
        <v>43474</v>
      </c>
      <c r="C239" s="1" t="s">
        <v>1270</v>
      </c>
      <c r="D239" s="1" t="s">
        <v>1271</v>
      </c>
      <c r="E239" s="1" t="s">
        <v>112</v>
      </c>
      <c r="F239" s="1" t="s">
        <v>34</v>
      </c>
      <c r="G239" s="2" t="s">
        <v>1272</v>
      </c>
      <c r="H239" s="1" t="s">
        <v>188</v>
      </c>
      <c r="I239" s="9"/>
      <c r="J239" s="4"/>
      <c r="L239" s="4"/>
      <c r="M239" s="1"/>
      <c r="N239" s="1" t="s">
        <v>77</v>
      </c>
      <c r="O239" s="1" t="s">
        <v>1273</v>
      </c>
      <c r="P239" s="1" t="s">
        <v>647</v>
      </c>
      <c r="Q239" s="1"/>
      <c r="R239" s="2">
        <v>55394</v>
      </c>
      <c r="S239" s="2">
        <v>44.805486999999999</v>
      </c>
      <c r="T239" s="2">
        <v>-93.766524000000004</v>
      </c>
      <c r="U239" s="1"/>
      <c r="V239" s="1"/>
      <c r="W239" s="5"/>
      <c r="X239" s="1"/>
      <c r="Y239" s="1" t="s">
        <v>1270</v>
      </c>
      <c r="Z239" s="1" t="s">
        <v>1161</v>
      </c>
      <c r="AA239" s="1" t="s">
        <v>1162</v>
      </c>
      <c r="AB239" s="1"/>
      <c r="AC239" s="2" t="s">
        <v>120</v>
      </c>
      <c r="AD239" s="2">
        <f t="shared" si="3"/>
        <v>2019</v>
      </c>
    </row>
    <row r="240" spans="1:30" hidden="1">
      <c r="A240" s="2" t="s">
        <v>1261</v>
      </c>
      <c r="B240" s="3">
        <v>43474</v>
      </c>
      <c r="C240" s="1" t="s">
        <v>1274</v>
      </c>
      <c r="D240" s="1" t="s">
        <v>65</v>
      </c>
      <c r="E240" s="1" t="s">
        <v>66</v>
      </c>
      <c r="F240" s="1" t="s">
        <v>34</v>
      </c>
      <c r="G240" s="2" t="s">
        <v>1275</v>
      </c>
      <c r="H240" s="1" t="s">
        <v>101</v>
      </c>
      <c r="I240" s="6"/>
      <c r="J240" s="4">
        <v>6</v>
      </c>
      <c r="L240" s="4"/>
      <c r="M240" s="1" t="s">
        <v>737</v>
      </c>
      <c r="N240" s="1" t="s">
        <v>300</v>
      </c>
      <c r="O240" s="1" t="s">
        <v>1276</v>
      </c>
      <c r="P240" s="1" t="s">
        <v>188</v>
      </c>
      <c r="Q240" s="1"/>
      <c r="R240" s="2">
        <v>55402</v>
      </c>
      <c r="S240" s="2">
        <v>44.975915000000001</v>
      </c>
      <c r="T240" s="2">
        <v>-93.271825000000007</v>
      </c>
      <c r="U240" s="1"/>
      <c r="V240" s="1"/>
      <c r="W240" s="5"/>
      <c r="X240" s="1"/>
      <c r="Y240" s="1" t="s">
        <v>1274</v>
      </c>
      <c r="Z240" s="1" t="s">
        <v>875</v>
      </c>
      <c r="AA240" s="1" t="s">
        <v>328</v>
      </c>
      <c r="AB240" s="1"/>
      <c r="AC240" s="2" t="s">
        <v>51</v>
      </c>
      <c r="AD240" s="2">
        <f t="shared" si="3"/>
        <v>2019</v>
      </c>
    </row>
    <row r="241" spans="1:30" hidden="1">
      <c r="A241" s="2" t="s">
        <v>1261</v>
      </c>
      <c r="B241" s="3">
        <v>43476</v>
      </c>
      <c r="C241" s="1" t="s">
        <v>1277</v>
      </c>
      <c r="D241" s="1" t="s">
        <v>728</v>
      </c>
      <c r="E241" s="1" t="s">
        <v>395</v>
      </c>
      <c r="F241" s="1" t="s">
        <v>34</v>
      </c>
      <c r="G241" s="2" t="s">
        <v>1278</v>
      </c>
      <c r="H241" s="1" t="s">
        <v>389</v>
      </c>
      <c r="I241" s="6"/>
      <c r="J241" s="4">
        <v>50</v>
      </c>
      <c r="L241" s="4"/>
      <c r="M241" s="1" t="s">
        <v>93</v>
      </c>
      <c r="N241" s="1" t="s">
        <v>48</v>
      </c>
      <c r="O241" s="7" t="s">
        <v>1279</v>
      </c>
      <c r="P241" s="1" t="s">
        <v>285</v>
      </c>
      <c r="Q241" s="1" t="s">
        <v>1280</v>
      </c>
      <c r="R241" s="2">
        <v>55330</v>
      </c>
      <c r="S241" s="2">
        <v>45.289095000000003</v>
      </c>
      <c r="T241" s="2">
        <v>-93.545381000000006</v>
      </c>
      <c r="U241" s="1" t="s">
        <v>60</v>
      </c>
      <c r="V241" s="1" t="s">
        <v>1281</v>
      </c>
      <c r="W241" s="5"/>
      <c r="X241" s="1"/>
      <c r="Y241" s="1"/>
      <c r="Z241" s="1"/>
      <c r="AA241" s="1"/>
      <c r="AB241" s="1"/>
      <c r="AC241" s="2" t="s">
        <v>41</v>
      </c>
      <c r="AD241" s="2">
        <f t="shared" si="3"/>
        <v>2019</v>
      </c>
    </row>
    <row r="242" spans="1:30" hidden="1">
      <c r="A242" s="2" t="s">
        <v>1261</v>
      </c>
      <c r="B242" s="3">
        <v>43479</v>
      </c>
      <c r="C242" s="1" t="s">
        <v>1282</v>
      </c>
      <c r="D242" s="1" t="s">
        <v>1283</v>
      </c>
      <c r="E242" s="1" t="s">
        <v>66</v>
      </c>
      <c r="F242" s="1" t="s">
        <v>34</v>
      </c>
      <c r="G242" s="2" t="s">
        <v>1284</v>
      </c>
      <c r="H242" s="1" t="s">
        <v>101</v>
      </c>
      <c r="I242" s="9"/>
      <c r="J242" s="33">
        <v>2</v>
      </c>
      <c r="L242" s="4"/>
      <c r="M242" s="1"/>
      <c r="N242" s="1" t="s">
        <v>140</v>
      </c>
      <c r="O242" s="1" t="s">
        <v>1285</v>
      </c>
      <c r="P242" s="1" t="s">
        <v>965</v>
      </c>
      <c r="Q242" s="1" t="s">
        <v>1286</v>
      </c>
      <c r="R242" s="2">
        <v>55391</v>
      </c>
      <c r="S242" s="2">
        <v>44.971736</v>
      </c>
      <c r="T242" s="2">
        <v>-93.490223</v>
      </c>
      <c r="U242" s="1"/>
      <c r="V242" s="1"/>
      <c r="W242" s="5"/>
      <c r="X242" s="1"/>
      <c r="Y242" s="1" t="s">
        <v>1282</v>
      </c>
      <c r="Z242" s="1" t="s">
        <v>702</v>
      </c>
      <c r="AA242" s="1" t="s">
        <v>703</v>
      </c>
      <c r="AB242" s="1"/>
      <c r="AC242" s="2" t="s">
        <v>51</v>
      </c>
      <c r="AD242" s="2">
        <f t="shared" si="3"/>
        <v>2019</v>
      </c>
    </row>
    <row r="243" spans="1:30" hidden="1">
      <c r="A243" s="2" t="s">
        <v>1261</v>
      </c>
      <c r="B243" s="3">
        <v>43480</v>
      </c>
      <c r="C243" s="1" t="s">
        <v>1287</v>
      </c>
      <c r="D243" s="1" t="s">
        <v>1288</v>
      </c>
      <c r="E243" s="1" t="s">
        <v>99</v>
      </c>
      <c r="F243" s="1" t="s">
        <v>34</v>
      </c>
      <c r="G243" s="2" t="s">
        <v>1289</v>
      </c>
      <c r="H243" s="1" t="s">
        <v>68</v>
      </c>
      <c r="I243" s="6">
        <v>250000</v>
      </c>
      <c r="J243" s="4"/>
      <c r="L243" s="4">
        <v>9600</v>
      </c>
      <c r="M243" s="1"/>
      <c r="N243" s="2" t="s">
        <v>610</v>
      </c>
      <c r="O243" s="1" t="s">
        <v>1290</v>
      </c>
      <c r="P243" s="1" t="s">
        <v>965</v>
      </c>
      <c r="Q243" s="1" t="s">
        <v>1291</v>
      </c>
      <c r="R243" s="2">
        <v>55110</v>
      </c>
      <c r="S243" s="2">
        <v>45.068064</v>
      </c>
      <c r="T243" s="2">
        <v>-93.049961999999994</v>
      </c>
      <c r="U243" s="1"/>
      <c r="V243" s="1"/>
      <c r="W243" s="5"/>
      <c r="X243" s="1"/>
      <c r="Y243" s="1"/>
      <c r="Z243" s="1"/>
      <c r="AA243" s="1"/>
      <c r="AB243" s="1"/>
      <c r="AC243" s="2" t="s">
        <v>51</v>
      </c>
      <c r="AD243" s="2">
        <f t="shared" si="3"/>
        <v>2019</v>
      </c>
    </row>
    <row r="244" spans="1:30" hidden="1">
      <c r="A244" s="2" t="s">
        <v>1261</v>
      </c>
      <c r="B244" s="3">
        <v>43483</v>
      </c>
      <c r="C244" s="1" t="s">
        <v>1292</v>
      </c>
      <c r="D244" s="1" t="s">
        <v>65</v>
      </c>
      <c r="E244" s="1" t="s">
        <v>66</v>
      </c>
      <c r="F244" s="1" t="s">
        <v>34</v>
      </c>
      <c r="G244" s="2" t="s">
        <v>1293</v>
      </c>
      <c r="H244" s="1" t="s">
        <v>101</v>
      </c>
      <c r="I244" s="6">
        <v>2700000</v>
      </c>
      <c r="J244" s="4"/>
      <c r="L244" s="4">
        <v>27500</v>
      </c>
      <c r="M244" s="1"/>
      <c r="N244" s="2" t="s">
        <v>69</v>
      </c>
      <c r="O244" s="1" t="s">
        <v>1294</v>
      </c>
      <c r="P244" s="1" t="s">
        <v>965</v>
      </c>
      <c r="Q244" s="1" t="s">
        <v>1295</v>
      </c>
      <c r="R244" s="2">
        <v>55402</v>
      </c>
      <c r="S244" s="2">
        <v>44.974808000000003</v>
      </c>
      <c r="T244" s="2">
        <v>-93.271446999999995</v>
      </c>
      <c r="U244" s="1"/>
      <c r="V244" s="1"/>
      <c r="W244" s="5"/>
      <c r="X244" s="1"/>
      <c r="Y244" s="1" t="s">
        <v>1292</v>
      </c>
      <c r="Z244" s="1" t="s">
        <v>1296</v>
      </c>
      <c r="AA244" s="1" t="s">
        <v>961</v>
      </c>
      <c r="AB244" s="1"/>
      <c r="AC244" s="2" t="s">
        <v>51</v>
      </c>
      <c r="AD244" s="2">
        <f t="shared" si="3"/>
        <v>2019</v>
      </c>
    </row>
    <row r="245" spans="1:30" hidden="1">
      <c r="A245" s="2" t="s">
        <v>1261</v>
      </c>
      <c r="B245" s="3">
        <v>43489</v>
      </c>
      <c r="C245" s="1" t="s">
        <v>1297</v>
      </c>
      <c r="D245" s="1" t="s">
        <v>65</v>
      </c>
      <c r="E245" s="1" t="s">
        <v>66</v>
      </c>
      <c r="F245" s="1" t="s">
        <v>34</v>
      </c>
      <c r="G245" s="2" t="s">
        <v>1298</v>
      </c>
      <c r="H245" s="1"/>
      <c r="I245" s="6"/>
      <c r="J245" s="4">
        <v>5</v>
      </c>
      <c r="L245" s="4"/>
      <c r="M245" s="1"/>
      <c r="N245" s="1" t="s">
        <v>140</v>
      </c>
      <c r="O245" s="1" t="s">
        <v>1299</v>
      </c>
      <c r="P245" s="1" t="s">
        <v>965</v>
      </c>
      <c r="Q245" s="1" t="s">
        <v>1300</v>
      </c>
      <c r="R245" s="2">
        <v>55403</v>
      </c>
      <c r="S245" s="2">
        <v>44.981164999999997</v>
      </c>
      <c r="T245" s="2">
        <v>-93.274092999999993</v>
      </c>
      <c r="U245" s="1" t="s">
        <v>143</v>
      </c>
      <c r="V245" s="1"/>
      <c r="W245" s="5"/>
      <c r="X245" s="1"/>
      <c r="Y245" s="1"/>
      <c r="Z245" s="1"/>
      <c r="AA245" s="1"/>
      <c r="AB245" s="1"/>
      <c r="AC245" s="2" t="s">
        <v>51</v>
      </c>
      <c r="AD245" s="2">
        <f t="shared" si="3"/>
        <v>2019</v>
      </c>
    </row>
    <row r="246" spans="1:30" hidden="1">
      <c r="A246" s="2" t="s">
        <v>1261</v>
      </c>
      <c r="B246" s="3">
        <v>43493</v>
      </c>
      <c r="C246" s="1" t="s">
        <v>1301</v>
      </c>
      <c r="D246" s="1" t="s">
        <v>1302</v>
      </c>
      <c r="E246" s="1" t="s">
        <v>66</v>
      </c>
      <c r="F246" s="1" t="s">
        <v>34</v>
      </c>
      <c r="G246" s="2" t="s">
        <v>1303</v>
      </c>
      <c r="H246" s="1" t="s">
        <v>68</v>
      </c>
      <c r="I246" s="6">
        <v>13950000</v>
      </c>
      <c r="J246" s="4">
        <v>58</v>
      </c>
      <c r="L246" s="4">
        <v>119400</v>
      </c>
      <c r="M246" s="1" t="s">
        <v>684</v>
      </c>
      <c r="N246" s="1" t="s">
        <v>48</v>
      </c>
      <c r="O246" s="8" t="s">
        <v>1304</v>
      </c>
      <c r="P246" s="1" t="s">
        <v>188</v>
      </c>
      <c r="Q246" s="1" t="s">
        <v>1305</v>
      </c>
      <c r="R246" s="2">
        <v>55427</v>
      </c>
      <c r="S246" s="2">
        <v>44.990169999999999</v>
      </c>
      <c r="T246" s="2">
        <v>-93.391178999999994</v>
      </c>
      <c r="U246" s="1" t="s">
        <v>60</v>
      </c>
      <c r="V246" s="1" t="s">
        <v>1306</v>
      </c>
      <c r="W246" s="5" t="s">
        <v>1307</v>
      </c>
      <c r="X246" s="1" t="s">
        <v>116</v>
      </c>
      <c r="Y246" s="1" t="s">
        <v>1308</v>
      </c>
      <c r="Z246" s="1" t="s">
        <v>1309</v>
      </c>
      <c r="AA246" s="1"/>
      <c r="AB246" s="1" t="s">
        <v>757</v>
      </c>
      <c r="AC246" s="2" t="s">
        <v>51</v>
      </c>
      <c r="AD246" s="2">
        <f t="shared" si="3"/>
        <v>2019</v>
      </c>
    </row>
    <row r="247" spans="1:30" hidden="1">
      <c r="A247" s="2" t="s">
        <v>1261</v>
      </c>
      <c r="B247" s="3">
        <v>43494</v>
      </c>
      <c r="C247" s="1" t="s">
        <v>1310</v>
      </c>
      <c r="D247" s="1" t="s">
        <v>591</v>
      </c>
      <c r="E247" s="1" t="s">
        <v>66</v>
      </c>
      <c r="F247" s="1" t="s">
        <v>34</v>
      </c>
      <c r="G247" s="2" t="s">
        <v>1311</v>
      </c>
      <c r="H247" s="1" t="s">
        <v>1312</v>
      </c>
      <c r="I247" s="6"/>
      <c r="L247" s="4">
        <v>6000</v>
      </c>
      <c r="M247" s="1" t="s">
        <v>47</v>
      </c>
      <c r="N247" s="1" t="s">
        <v>48</v>
      </c>
      <c r="O247" s="8" t="s">
        <v>1313</v>
      </c>
      <c r="P247" s="1" t="s">
        <v>965</v>
      </c>
      <c r="Q247" s="1" t="s">
        <v>1314</v>
      </c>
      <c r="R247" s="2">
        <v>55345</v>
      </c>
      <c r="S247" s="2">
        <v>44.894705000000002</v>
      </c>
      <c r="T247" s="2">
        <v>-93.446647999999996</v>
      </c>
      <c r="U247" s="1"/>
      <c r="V247" s="1"/>
      <c r="W247" s="5"/>
      <c r="X247" s="1"/>
      <c r="Y247" s="1"/>
      <c r="Z247" s="1"/>
      <c r="AA247" s="1"/>
      <c r="AB247" s="1"/>
      <c r="AC247" s="2" t="s">
        <v>51</v>
      </c>
      <c r="AD247" s="2">
        <f t="shared" si="3"/>
        <v>2019</v>
      </c>
    </row>
    <row r="248" spans="1:30" hidden="1">
      <c r="A248" s="2" t="s">
        <v>1261</v>
      </c>
      <c r="B248" s="3">
        <v>43494</v>
      </c>
      <c r="C248" s="1" t="s">
        <v>600</v>
      </c>
      <c r="D248" s="1" t="s">
        <v>203</v>
      </c>
      <c r="E248" s="1" t="s">
        <v>74</v>
      </c>
      <c r="F248" s="1" t="s">
        <v>34</v>
      </c>
      <c r="G248" s="2" t="s">
        <v>1315</v>
      </c>
      <c r="H248" s="1" t="s">
        <v>68</v>
      </c>
      <c r="I248" s="6">
        <v>6000000</v>
      </c>
      <c r="J248" s="4"/>
      <c r="L248" s="4"/>
      <c r="M248" s="1"/>
      <c r="N248" s="1" t="s">
        <v>77</v>
      </c>
      <c r="O248" s="1" t="s">
        <v>1316</v>
      </c>
      <c r="P248" s="2" t="s">
        <v>965</v>
      </c>
      <c r="Q248" s="1" t="s">
        <v>1269</v>
      </c>
      <c r="R248" s="2">
        <v>55121</v>
      </c>
      <c r="S248" s="2">
        <v>44.855744000000001</v>
      </c>
      <c r="T248" s="2">
        <v>-93.161086999999995</v>
      </c>
      <c r="U248" s="1"/>
      <c r="V248" s="1"/>
      <c r="W248" s="1"/>
      <c r="X248" s="1"/>
      <c r="Y248" s="1"/>
      <c r="Z248" s="1"/>
      <c r="AA248" s="1"/>
      <c r="AB248" s="1"/>
      <c r="AC248" s="2" t="s">
        <v>51</v>
      </c>
      <c r="AD248" s="2">
        <f t="shared" si="3"/>
        <v>2019</v>
      </c>
    </row>
    <row r="249" spans="1:30" hidden="1">
      <c r="A249" s="2" t="s">
        <v>1261</v>
      </c>
      <c r="B249" s="3">
        <v>43495</v>
      </c>
      <c r="C249" s="1" t="s">
        <v>1317</v>
      </c>
      <c r="D249" s="1" t="s">
        <v>53</v>
      </c>
      <c r="E249" s="1" t="s">
        <v>54</v>
      </c>
      <c r="F249" s="1" t="s">
        <v>34</v>
      </c>
      <c r="G249" s="2" t="s">
        <v>1318</v>
      </c>
      <c r="H249" s="1" t="s">
        <v>48</v>
      </c>
      <c r="I249" s="6"/>
      <c r="J249" s="4">
        <v>30</v>
      </c>
      <c r="L249" s="4"/>
      <c r="M249" s="1" t="s">
        <v>47</v>
      </c>
      <c r="N249" s="1" t="s">
        <v>48</v>
      </c>
      <c r="O249" s="8" t="s">
        <v>1319</v>
      </c>
      <c r="P249" s="1" t="s">
        <v>188</v>
      </c>
      <c r="Q249" s="1" t="s">
        <v>1320</v>
      </c>
      <c r="R249" s="2">
        <v>55318</v>
      </c>
      <c r="S249" s="2">
        <v>44.851785999999997</v>
      </c>
      <c r="T249" s="2">
        <v>-93.588369999999998</v>
      </c>
      <c r="U249" s="1"/>
      <c r="V249" s="1"/>
      <c r="W249" s="5"/>
      <c r="X249" s="1" t="s">
        <v>116</v>
      </c>
      <c r="Y249" s="1" t="s">
        <v>1321</v>
      </c>
      <c r="Z249" s="1" t="s">
        <v>1322</v>
      </c>
      <c r="AA249" s="1"/>
      <c r="AB249" s="1" t="s">
        <v>1323</v>
      </c>
      <c r="AC249" s="2" t="s">
        <v>51</v>
      </c>
      <c r="AD249" s="2">
        <f t="shared" si="3"/>
        <v>2019</v>
      </c>
    </row>
    <row r="250" spans="1:30" hidden="1">
      <c r="A250" s="2" t="s">
        <v>1261</v>
      </c>
      <c r="B250" s="3">
        <v>43496</v>
      </c>
      <c r="C250" s="1" t="s">
        <v>1324</v>
      </c>
      <c r="D250" s="1" t="s">
        <v>776</v>
      </c>
      <c r="E250" s="1" t="s">
        <v>66</v>
      </c>
      <c r="F250" s="1" t="s">
        <v>34</v>
      </c>
      <c r="G250" s="2" t="s">
        <v>1325</v>
      </c>
      <c r="H250" s="1" t="s">
        <v>101</v>
      </c>
      <c r="I250" s="6"/>
      <c r="J250" s="4"/>
      <c r="L250" s="4">
        <v>12000</v>
      </c>
      <c r="M250" s="1"/>
      <c r="N250" s="2" t="s">
        <v>69</v>
      </c>
      <c r="O250" s="8" t="s">
        <v>1326</v>
      </c>
      <c r="P250" s="1" t="s">
        <v>1327</v>
      </c>
      <c r="Q250" s="2" t="s">
        <v>1328</v>
      </c>
      <c r="R250" s="2">
        <v>55410</v>
      </c>
      <c r="S250" s="2">
        <v>44.922747999999999</v>
      </c>
      <c r="T250" s="2">
        <v>-93.329415999999995</v>
      </c>
      <c r="U250" s="1" t="s">
        <v>143</v>
      </c>
      <c r="V250" s="1"/>
      <c r="W250" s="5"/>
      <c r="X250" s="1"/>
      <c r="Y250" s="1" t="s">
        <v>1324</v>
      </c>
      <c r="Z250" s="1" t="s">
        <v>875</v>
      </c>
      <c r="AA250" s="1" t="s">
        <v>328</v>
      </c>
      <c r="AB250" s="1"/>
      <c r="AC250" s="2" t="s">
        <v>51</v>
      </c>
      <c r="AD250" s="2">
        <f t="shared" si="3"/>
        <v>2019</v>
      </c>
    </row>
    <row r="251" spans="1:30" hidden="1">
      <c r="A251" s="2" t="s">
        <v>1261</v>
      </c>
      <c r="B251" s="3">
        <v>43499</v>
      </c>
      <c r="C251" s="1" t="s">
        <v>1329</v>
      </c>
      <c r="D251" s="1" t="s">
        <v>1330</v>
      </c>
      <c r="E251" s="1" t="s">
        <v>99</v>
      </c>
      <c r="F251" s="1" t="s">
        <v>34</v>
      </c>
      <c r="G251" s="2" t="s">
        <v>1331</v>
      </c>
      <c r="H251" s="1" t="s">
        <v>68</v>
      </c>
      <c r="I251" s="6"/>
      <c r="J251" s="4">
        <v>5</v>
      </c>
      <c r="L251" s="4"/>
      <c r="M251" s="1" t="s">
        <v>450</v>
      </c>
      <c r="N251" s="1" t="s">
        <v>48</v>
      </c>
      <c r="O251" s="7" t="s">
        <v>1332</v>
      </c>
      <c r="P251" s="1" t="s">
        <v>285</v>
      </c>
      <c r="Q251" s="1" t="s">
        <v>1333</v>
      </c>
      <c r="R251" s="2">
        <v>55112</v>
      </c>
      <c r="S251" s="2">
        <v>45.051921</v>
      </c>
      <c r="T251" s="2">
        <v>-93.193682999999993</v>
      </c>
      <c r="U251" s="1"/>
      <c r="V251" s="1"/>
      <c r="W251" s="5"/>
      <c r="X251" s="1" t="s">
        <v>116</v>
      </c>
      <c r="Y251" s="1" t="s">
        <v>1334</v>
      </c>
      <c r="Z251" s="1" t="s">
        <v>1335</v>
      </c>
      <c r="AA251" s="1"/>
      <c r="AB251" s="1" t="s">
        <v>347</v>
      </c>
      <c r="AC251" s="2" t="s">
        <v>51</v>
      </c>
      <c r="AD251" s="2">
        <f t="shared" si="3"/>
        <v>2019</v>
      </c>
    </row>
    <row r="252" spans="1:30" hidden="1">
      <c r="A252" s="2" t="s">
        <v>1261</v>
      </c>
      <c r="B252" s="3">
        <v>43504</v>
      </c>
      <c r="C252" s="1" t="s">
        <v>1336</v>
      </c>
      <c r="D252" s="1" t="s">
        <v>448</v>
      </c>
      <c r="E252" s="1" t="s">
        <v>66</v>
      </c>
      <c r="F252" s="1" t="s">
        <v>34</v>
      </c>
      <c r="G252" s="2" t="s">
        <v>1337</v>
      </c>
      <c r="H252" s="1" t="s">
        <v>68</v>
      </c>
      <c r="I252" s="6"/>
      <c r="J252" s="4"/>
      <c r="L252" s="4"/>
      <c r="M252" s="1" t="s">
        <v>167</v>
      </c>
      <c r="N252" s="1" t="s">
        <v>48</v>
      </c>
      <c r="O252" s="1" t="s">
        <v>1338</v>
      </c>
      <c r="P252" s="1" t="s">
        <v>965</v>
      </c>
      <c r="Q252" s="1" t="s">
        <v>1339</v>
      </c>
      <c r="R252" s="2">
        <v>55344</v>
      </c>
      <c r="S252" s="2">
        <v>44.850563000000001</v>
      </c>
      <c r="T252" s="2">
        <v>-93.440428999999995</v>
      </c>
      <c r="U252" s="1" t="s">
        <v>143</v>
      </c>
      <c r="V252" s="1"/>
      <c r="W252" s="5"/>
      <c r="X252" s="1"/>
      <c r="Y252" s="1"/>
      <c r="Z252" s="1"/>
      <c r="AA252" s="1"/>
      <c r="AB252" s="1"/>
      <c r="AC252" s="2" t="s">
        <v>51</v>
      </c>
      <c r="AD252" s="2">
        <f t="shared" si="3"/>
        <v>2019</v>
      </c>
    </row>
    <row r="253" spans="1:30" hidden="1">
      <c r="A253" s="2" t="s">
        <v>1261</v>
      </c>
      <c r="B253" s="3">
        <v>43508</v>
      </c>
      <c r="C253" s="1" t="s">
        <v>1340</v>
      </c>
      <c r="D253" s="1" t="s">
        <v>776</v>
      </c>
      <c r="E253" s="1" t="s">
        <v>66</v>
      </c>
      <c r="F253" s="1" t="s">
        <v>34</v>
      </c>
      <c r="G253" s="2" t="s">
        <v>1341</v>
      </c>
      <c r="H253" s="1" t="s">
        <v>68</v>
      </c>
      <c r="I253" s="6"/>
      <c r="J253" s="4"/>
      <c r="L253" s="4"/>
      <c r="M253" s="1" t="s">
        <v>85</v>
      </c>
      <c r="N253" s="1" t="s">
        <v>86</v>
      </c>
      <c r="O253" s="1" t="s">
        <v>1342</v>
      </c>
      <c r="P253" s="1" t="s">
        <v>188</v>
      </c>
      <c r="Q253" s="1" t="s">
        <v>1343</v>
      </c>
      <c r="R253" s="2">
        <v>55439</v>
      </c>
      <c r="S253" s="2">
        <v>44.862563999999999</v>
      </c>
      <c r="T253" s="2">
        <v>-93.355079000000003</v>
      </c>
      <c r="U253" s="1"/>
      <c r="V253" s="1"/>
      <c r="W253" s="5"/>
      <c r="X253" s="1"/>
      <c r="Y253" s="1"/>
      <c r="Z253" s="1"/>
      <c r="AA253" s="1"/>
      <c r="AB253" s="1"/>
      <c r="AC253" s="2" t="s">
        <v>51</v>
      </c>
      <c r="AD253" s="2">
        <f t="shared" si="3"/>
        <v>2019</v>
      </c>
    </row>
    <row r="254" spans="1:30" hidden="1">
      <c r="A254" s="2" t="s">
        <v>1261</v>
      </c>
      <c r="B254" s="3">
        <v>43509</v>
      </c>
      <c r="C254" s="1" t="s">
        <v>509</v>
      </c>
      <c r="D254" s="1" t="s">
        <v>90</v>
      </c>
      <c r="E254" s="1" t="s">
        <v>91</v>
      </c>
      <c r="F254" s="1" t="s">
        <v>34</v>
      </c>
      <c r="G254" s="2" t="s">
        <v>1344</v>
      </c>
      <c r="H254" s="1" t="s">
        <v>36</v>
      </c>
      <c r="I254" s="6">
        <v>15000000</v>
      </c>
      <c r="J254" s="4"/>
      <c r="L254" s="4"/>
      <c r="M254" s="1"/>
      <c r="N254" s="1" t="s">
        <v>37</v>
      </c>
      <c r="O254" s="1" t="s">
        <v>1345</v>
      </c>
      <c r="P254" s="1" t="s">
        <v>188</v>
      </c>
      <c r="Q254" s="1" t="s">
        <v>1346</v>
      </c>
      <c r="R254" s="2">
        <v>55811</v>
      </c>
      <c r="S254" s="2">
        <v>46.804327000000001</v>
      </c>
      <c r="T254" s="2">
        <v>-92.159522999999993</v>
      </c>
      <c r="U254" s="1"/>
      <c r="V254" s="1"/>
      <c r="W254" s="5"/>
      <c r="X254" s="1"/>
      <c r="Y254" s="1" t="s">
        <v>509</v>
      </c>
      <c r="Z254" s="1" t="s">
        <v>513</v>
      </c>
      <c r="AA254" s="1" t="s">
        <v>34</v>
      </c>
      <c r="AB254" s="1"/>
      <c r="AC254" s="2" t="s">
        <v>97</v>
      </c>
      <c r="AD254" s="2">
        <f t="shared" si="3"/>
        <v>2019</v>
      </c>
    </row>
    <row r="255" spans="1:30" hidden="1">
      <c r="A255" s="2" t="s">
        <v>1261</v>
      </c>
      <c r="B255" s="3">
        <v>43511</v>
      </c>
      <c r="C255" s="1" t="s">
        <v>1347</v>
      </c>
      <c r="D255" s="1" t="s">
        <v>65</v>
      </c>
      <c r="E255" s="1" t="s">
        <v>66</v>
      </c>
      <c r="F255" s="1" t="s">
        <v>34</v>
      </c>
      <c r="G255" s="2" t="s">
        <v>1348</v>
      </c>
      <c r="H255" s="1" t="s">
        <v>68</v>
      </c>
      <c r="I255" s="6"/>
      <c r="J255" s="4">
        <v>20</v>
      </c>
      <c r="L255" s="4"/>
      <c r="M255" s="1" t="s">
        <v>299</v>
      </c>
      <c r="N255" s="1" t="s">
        <v>300</v>
      </c>
      <c r="O255" s="1" t="s">
        <v>1349</v>
      </c>
      <c r="P255" s="1" t="s">
        <v>285</v>
      </c>
      <c r="Q255" s="1" t="s">
        <v>1350</v>
      </c>
      <c r="R255" s="2">
        <v>55402</v>
      </c>
      <c r="S255" s="2">
        <v>44.977772000000002</v>
      </c>
      <c r="T255" s="2">
        <v>-93.270821999999995</v>
      </c>
      <c r="U255" s="1"/>
      <c r="V255" s="1"/>
      <c r="W255" s="5"/>
      <c r="X255" s="1"/>
      <c r="Y255" s="1"/>
      <c r="Z255" s="1"/>
      <c r="AA255" s="1"/>
      <c r="AB255" s="1"/>
      <c r="AC255" s="2" t="s">
        <v>51</v>
      </c>
      <c r="AD255" s="2">
        <f t="shared" si="3"/>
        <v>2019</v>
      </c>
    </row>
    <row r="256" spans="1:30" hidden="1">
      <c r="A256" s="2" t="s">
        <v>1261</v>
      </c>
      <c r="B256" s="3">
        <v>43516</v>
      </c>
      <c r="C256" s="1" t="s">
        <v>1351</v>
      </c>
      <c r="D256" s="1" t="s">
        <v>732</v>
      </c>
      <c r="E256" s="1" t="s">
        <v>44</v>
      </c>
      <c r="F256" s="1" t="s">
        <v>34</v>
      </c>
      <c r="G256" s="2" t="s">
        <v>1352</v>
      </c>
      <c r="H256" s="1" t="s">
        <v>389</v>
      </c>
      <c r="I256" s="9"/>
      <c r="J256" s="4"/>
      <c r="L256" s="4"/>
      <c r="M256" s="1"/>
      <c r="N256" s="1" t="s">
        <v>253</v>
      </c>
      <c r="O256" s="1" t="s">
        <v>1353</v>
      </c>
      <c r="P256" s="1" t="s">
        <v>965</v>
      </c>
      <c r="Q256" s="1" t="s">
        <v>1354</v>
      </c>
      <c r="R256" s="2">
        <v>55115</v>
      </c>
      <c r="S256" s="2">
        <v>45.049830999999998</v>
      </c>
      <c r="T256" s="2">
        <v>-92.983590000000007</v>
      </c>
      <c r="U256" s="1"/>
      <c r="V256" s="1"/>
      <c r="W256" s="5"/>
      <c r="X256" s="1"/>
      <c r="Y256" s="1" t="s">
        <v>1355</v>
      </c>
      <c r="Z256" s="1"/>
      <c r="AA256" s="1" t="s">
        <v>774</v>
      </c>
      <c r="AB256" s="1"/>
      <c r="AC256" s="2" t="s">
        <v>51</v>
      </c>
      <c r="AD256" s="2">
        <f t="shared" si="3"/>
        <v>2019</v>
      </c>
    </row>
    <row r="257" spans="1:30" hidden="1">
      <c r="A257" s="2" t="s">
        <v>1261</v>
      </c>
      <c r="B257" s="42">
        <v>43517</v>
      </c>
      <c r="C257" s="2" t="s">
        <v>1356</v>
      </c>
      <c r="D257" s="2" t="s">
        <v>1357</v>
      </c>
      <c r="E257" s="2" t="s">
        <v>572</v>
      </c>
      <c r="F257" s="1" t="s">
        <v>34</v>
      </c>
      <c r="G257" s="2" t="s">
        <v>1358</v>
      </c>
      <c r="H257" s="2" t="s">
        <v>1359</v>
      </c>
      <c r="I257" s="11"/>
      <c r="L257" s="5">
        <v>28000</v>
      </c>
      <c r="M257" s="2" t="s">
        <v>384</v>
      </c>
      <c r="N257" s="2" t="s">
        <v>384</v>
      </c>
      <c r="O257" s="2" t="s">
        <v>1360</v>
      </c>
      <c r="Q257" s="149" t="s">
        <v>1361</v>
      </c>
      <c r="R257" s="2">
        <v>55376</v>
      </c>
      <c r="S257" s="2">
        <v>45.215488000000001</v>
      </c>
      <c r="T257" s="2">
        <v>-93.616086999999993</v>
      </c>
      <c r="W257" s="11"/>
      <c r="AC257" s="2" t="s">
        <v>41</v>
      </c>
      <c r="AD257" s="2">
        <f t="shared" si="3"/>
        <v>2019</v>
      </c>
    </row>
    <row r="258" spans="1:30" hidden="1">
      <c r="A258" s="2" t="s">
        <v>1261</v>
      </c>
      <c r="B258" s="3">
        <v>43522</v>
      </c>
      <c r="C258" s="1" t="s">
        <v>1017</v>
      </c>
      <c r="D258" s="1" t="s">
        <v>408</v>
      </c>
      <c r="E258" s="1" t="s">
        <v>99</v>
      </c>
      <c r="F258" s="1" t="s">
        <v>34</v>
      </c>
      <c r="G258" s="2" t="s">
        <v>1362</v>
      </c>
      <c r="H258" s="1" t="s">
        <v>272</v>
      </c>
      <c r="I258" s="6"/>
      <c r="J258" s="4"/>
      <c r="L258" s="4">
        <v>24592</v>
      </c>
      <c r="M258" s="1" t="s">
        <v>356</v>
      </c>
      <c r="N258" s="1" t="s">
        <v>48</v>
      </c>
      <c r="O258" s="8" t="s">
        <v>1363</v>
      </c>
      <c r="P258" s="1" t="s">
        <v>285</v>
      </c>
      <c r="Q258" s="1" t="s">
        <v>1364</v>
      </c>
      <c r="R258" s="2">
        <v>55109</v>
      </c>
      <c r="S258" s="2">
        <v>45.014550999999997</v>
      </c>
      <c r="T258" s="2">
        <v>-93.025535000000005</v>
      </c>
      <c r="U258" s="1"/>
      <c r="V258" s="1"/>
      <c r="W258" s="5"/>
      <c r="X258" s="1"/>
      <c r="Y258" s="1"/>
      <c r="AA258" s="1"/>
      <c r="AB258" s="1"/>
      <c r="AC258" s="1" t="s">
        <v>51</v>
      </c>
      <c r="AD258" s="2">
        <f t="shared" ref="AD258:AD321" si="4">YEAR(B258)</f>
        <v>2019</v>
      </c>
    </row>
    <row r="259" spans="1:30" hidden="1">
      <c r="A259" s="2" t="s">
        <v>1261</v>
      </c>
      <c r="B259" s="3">
        <v>43522</v>
      </c>
      <c r="C259" s="1" t="s">
        <v>1365</v>
      </c>
      <c r="D259" s="1" t="s">
        <v>591</v>
      </c>
      <c r="E259" s="1" t="s">
        <v>66</v>
      </c>
      <c r="F259" s="1" t="s">
        <v>34</v>
      </c>
      <c r="G259" s="2" t="s">
        <v>1366</v>
      </c>
      <c r="H259" s="1" t="s">
        <v>199</v>
      </c>
      <c r="I259" s="6">
        <v>12500000</v>
      </c>
      <c r="J259" s="4">
        <v>250</v>
      </c>
      <c r="L259" s="4"/>
      <c r="M259" s="1" t="s">
        <v>299</v>
      </c>
      <c r="N259" s="1" t="s">
        <v>300</v>
      </c>
      <c r="O259" s="1" t="s">
        <v>1367</v>
      </c>
      <c r="P259" s="1" t="s">
        <v>965</v>
      </c>
      <c r="Q259" s="1" t="s">
        <v>1368</v>
      </c>
      <c r="R259" s="2">
        <v>55343</v>
      </c>
      <c r="S259" s="2">
        <v>44.923053000000003</v>
      </c>
      <c r="T259" s="2">
        <v>-93.448713999999995</v>
      </c>
      <c r="U259" s="1" t="s">
        <v>60</v>
      </c>
      <c r="V259" s="1" t="s">
        <v>1306</v>
      </c>
      <c r="W259" s="5">
        <v>600000</v>
      </c>
      <c r="X259" s="1"/>
      <c r="Y259" s="1"/>
      <c r="Z259" s="1"/>
      <c r="AA259" s="1"/>
      <c r="AB259" s="1"/>
      <c r="AC259" s="1" t="s">
        <v>51</v>
      </c>
      <c r="AD259" s="2">
        <f t="shared" si="4"/>
        <v>2019</v>
      </c>
    </row>
    <row r="260" spans="1:30" hidden="1">
      <c r="A260" s="2" t="s">
        <v>1261</v>
      </c>
      <c r="B260" s="3">
        <v>43523</v>
      </c>
      <c r="C260" s="1" t="s">
        <v>1369</v>
      </c>
      <c r="D260" s="1" t="s">
        <v>99</v>
      </c>
      <c r="E260" s="1" t="s">
        <v>677</v>
      </c>
      <c r="F260" s="1" t="s">
        <v>34</v>
      </c>
      <c r="G260" s="2" t="s">
        <v>1370</v>
      </c>
      <c r="H260" s="1" t="s">
        <v>272</v>
      </c>
      <c r="I260" s="6">
        <v>25000000</v>
      </c>
      <c r="J260" s="4">
        <v>200</v>
      </c>
      <c r="L260" s="4">
        <v>70000</v>
      </c>
      <c r="M260" s="1" t="s">
        <v>167</v>
      </c>
      <c r="N260" s="1" t="s">
        <v>48</v>
      </c>
      <c r="O260" s="1" t="s">
        <v>1371</v>
      </c>
      <c r="P260" s="1" t="s">
        <v>1372</v>
      </c>
      <c r="Q260" s="1" t="s">
        <v>1373</v>
      </c>
      <c r="R260" s="2">
        <v>55303</v>
      </c>
      <c r="S260" s="2">
        <v>45.231174000000003</v>
      </c>
      <c r="T260" s="2">
        <v>-93.444169000000002</v>
      </c>
      <c r="U260" s="1" t="s">
        <v>60</v>
      </c>
      <c r="V260" s="1" t="s">
        <v>1306</v>
      </c>
      <c r="W260" s="5">
        <v>450000</v>
      </c>
      <c r="X260" s="1" t="s">
        <v>116</v>
      </c>
      <c r="Y260" s="1" t="s">
        <v>1374</v>
      </c>
      <c r="Z260" s="1" t="s">
        <v>1309</v>
      </c>
      <c r="AA260" s="1"/>
      <c r="AB260" s="1" t="s">
        <v>757</v>
      </c>
      <c r="AC260" s="2" t="s">
        <v>51</v>
      </c>
      <c r="AD260" s="2">
        <f t="shared" si="4"/>
        <v>2019</v>
      </c>
    </row>
    <row r="261" spans="1:30" hidden="1">
      <c r="A261" s="2" t="s">
        <v>1261</v>
      </c>
      <c r="B261" s="3">
        <v>43523</v>
      </c>
      <c r="C261" s="1" t="s">
        <v>1375</v>
      </c>
      <c r="D261" s="1" t="s">
        <v>546</v>
      </c>
      <c r="E261" s="1" t="s">
        <v>74</v>
      </c>
      <c r="F261" s="1" t="s">
        <v>34</v>
      </c>
      <c r="G261" s="2" t="s">
        <v>1376</v>
      </c>
      <c r="H261" s="1" t="s">
        <v>188</v>
      </c>
      <c r="I261" s="6">
        <v>11459000</v>
      </c>
      <c r="J261" s="4">
        <v>44</v>
      </c>
      <c r="L261" s="4">
        <v>100000</v>
      </c>
      <c r="M261" s="1" t="s">
        <v>574</v>
      </c>
      <c r="N261" s="1" t="s">
        <v>48</v>
      </c>
      <c r="O261" s="8" t="s">
        <v>1377</v>
      </c>
      <c r="P261" s="1" t="s">
        <v>1372</v>
      </c>
      <c r="Q261" s="1" t="s">
        <v>1378</v>
      </c>
      <c r="R261" s="2">
        <v>55044</v>
      </c>
      <c r="S261" s="2">
        <v>44.635178000000003</v>
      </c>
      <c r="T261" s="2">
        <v>-93.224500000000006</v>
      </c>
      <c r="U261" s="1" t="s">
        <v>60</v>
      </c>
      <c r="V261" s="1" t="s">
        <v>1379</v>
      </c>
      <c r="W261" s="5">
        <f>450000+526015</f>
        <v>976015</v>
      </c>
      <c r="X261" s="1"/>
      <c r="Y261" s="1"/>
      <c r="Z261" s="1"/>
      <c r="AA261" s="1"/>
      <c r="AB261" s="1"/>
      <c r="AC261" s="2" t="s">
        <v>51</v>
      </c>
      <c r="AD261" s="2">
        <f t="shared" si="4"/>
        <v>2019</v>
      </c>
    </row>
    <row r="262" spans="1:30" hidden="1">
      <c r="A262" s="2" t="s">
        <v>1261</v>
      </c>
      <c r="B262" s="3">
        <v>43524</v>
      </c>
      <c r="C262" s="1" t="s">
        <v>1380</v>
      </c>
      <c r="D262" s="1" t="s">
        <v>197</v>
      </c>
      <c r="E262" s="1" t="s">
        <v>99</v>
      </c>
      <c r="F262" s="1" t="s">
        <v>34</v>
      </c>
      <c r="G262" s="2" t="s">
        <v>1381</v>
      </c>
      <c r="H262" s="1" t="s">
        <v>101</v>
      </c>
      <c r="I262" s="9"/>
      <c r="J262" s="4"/>
      <c r="L262" s="4">
        <v>1500</v>
      </c>
      <c r="M262" s="1" t="s">
        <v>299</v>
      </c>
      <c r="N262" s="1" t="s">
        <v>300</v>
      </c>
      <c r="O262" s="1" t="s">
        <v>1382</v>
      </c>
      <c r="P262" s="1" t="s">
        <v>965</v>
      </c>
      <c r="Q262" s="1" t="s">
        <v>1383</v>
      </c>
      <c r="R262" s="2">
        <v>55113</v>
      </c>
      <c r="S262" s="2">
        <v>45.005122</v>
      </c>
      <c r="T262" s="2">
        <v>-93.106099999999998</v>
      </c>
      <c r="U262" s="1"/>
      <c r="V262" s="1"/>
      <c r="W262" s="5"/>
      <c r="X262" s="1"/>
      <c r="Y262" s="1"/>
      <c r="Z262" s="1" t="s">
        <v>960</v>
      </c>
      <c r="AA262" s="1" t="s">
        <v>961</v>
      </c>
      <c r="AB262" s="1"/>
      <c r="AC262" s="2" t="s">
        <v>51</v>
      </c>
      <c r="AD262" s="2">
        <f t="shared" si="4"/>
        <v>2019</v>
      </c>
    </row>
    <row r="263" spans="1:30" hidden="1">
      <c r="A263" s="2" t="s">
        <v>1261</v>
      </c>
      <c r="B263" s="3">
        <v>43524</v>
      </c>
      <c r="C263" s="1" t="s">
        <v>769</v>
      </c>
      <c r="D263" s="1" t="s">
        <v>65</v>
      </c>
      <c r="E263" s="1" t="s">
        <v>66</v>
      </c>
      <c r="F263" s="1" t="s">
        <v>34</v>
      </c>
      <c r="G263" s="2" t="s">
        <v>1384</v>
      </c>
      <c r="H263" s="1" t="s">
        <v>101</v>
      </c>
      <c r="I263" s="6"/>
      <c r="J263" s="4"/>
      <c r="L263" s="4">
        <v>73000</v>
      </c>
      <c r="M263" s="1"/>
      <c r="N263" s="2" t="s">
        <v>69</v>
      </c>
      <c r="O263" s="8" t="s">
        <v>1385</v>
      </c>
      <c r="P263" s="1" t="s">
        <v>965</v>
      </c>
      <c r="Q263" s="1" t="s">
        <v>1386</v>
      </c>
      <c r="R263" s="2">
        <v>55413</v>
      </c>
      <c r="S263" s="2">
        <v>44.997838999999999</v>
      </c>
      <c r="T263" s="2">
        <v>-93.257377000000005</v>
      </c>
      <c r="U263" s="1"/>
      <c r="V263" s="1"/>
      <c r="W263" s="5"/>
      <c r="X263" s="1"/>
      <c r="Y263" s="1" t="s">
        <v>769</v>
      </c>
      <c r="Z263" s="1" t="s">
        <v>773</v>
      </c>
      <c r="AA263" s="1" t="s">
        <v>774</v>
      </c>
      <c r="AB263" s="1"/>
      <c r="AC263" s="2" t="s">
        <v>51</v>
      </c>
      <c r="AD263" s="2">
        <f t="shared" si="4"/>
        <v>2019</v>
      </c>
    </row>
    <row r="264" spans="1:30" hidden="1">
      <c r="A264" s="2" t="s">
        <v>1261</v>
      </c>
      <c r="B264" s="3">
        <v>43530</v>
      </c>
      <c r="C264" s="1" t="s">
        <v>1387</v>
      </c>
      <c r="D264" s="1" t="s">
        <v>1302</v>
      </c>
      <c r="E264" s="1" t="s">
        <v>66</v>
      </c>
      <c r="F264" s="1" t="s">
        <v>34</v>
      </c>
      <c r="G264" s="2" t="s">
        <v>1388</v>
      </c>
      <c r="H264" s="1" t="s">
        <v>68</v>
      </c>
      <c r="I264" s="6">
        <v>13000000</v>
      </c>
      <c r="J264" s="4"/>
      <c r="L264" s="4"/>
      <c r="M264" s="1" t="s">
        <v>93</v>
      </c>
      <c r="N264" s="1" t="s">
        <v>48</v>
      </c>
      <c r="O264" s="8" t="s">
        <v>1389</v>
      </c>
      <c r="P264" s="1" t="s">
        <v>965</v>
      </c>
      <c r="Q264" s="1" t="s">
        <v>1390</v>
      </c>
      <c r="R264" s="2">
        <v>55440</v>
      </c>
      <c r="S264" s="2">
        <v>45.015914000000002</v>
      </c>
      <c r="T264" s="2">
        <v>-93.471879999999999</v>
      </c>
      <c r="U264" s="1"/>
      <c r="V264" s="1"/>
      <c r="W264" s="5"/>
      <c r="X264" s="1"/>
      <c r="Y264" s="1"/>
      <c r="Z264" s="1"/>
      <c r="AA264" s="1"/>
      <c r="AB264" s="1"/>
      <c r="AC264" s="2" t="s">
        <v>51</v>
      </c>
      <c r="AD264" s="2">
        <f t="shared" si="4"/>
        <v>2019</v>
      </c>
    </row>
    <row r="265" spans="1:30" hidden="1">
      <c r="A265" s="2" t="s">
        <v>1261</v>
      </c>
      <c r="B265" s="3">
        <v>43536</v>
      </c>
      <c r="C265" s="1" t="s">
        <v>1391</v>
      </c>
      <c r="D265" s="1" t="s">
        <v>759</v>
      </c>
      <c r="E265" s="1" t="s">
        <v>760</v>
      </c>
      <c r="F265" s="1" t="s">
        <v>34</v>
      </c>
      <c r="G265" s="2" t="s">
        <v>1392</v>
      </c>
      <c r="H265" s="1" t="s">
        <v>46</v>
      </c>
      <c r="I265" s="6"/>
      <c r="J265" s="4">
        <v>10</v>
      </c>
      <c r="L265" s="4"/>
      <c r="M265" s="1" t="s">
        <v>47</v>
      </c>
      <c r="N265" s="1" t="s">
        <v>48</v>
      </c>
      <c r="O265" s="8" t="s">
        <v>1393</v>
      </c>
      <c r="P265" s="1" t="s">
        <v>188</v>
      </c>
      <c r="Q265" s="1"/>
      <c r="R265" s="2">
        <v>56267</v>
      </c>
      <c r="S265" s="2">
        <v>45.595739000000002</v>
      </c>
      <c r="T265" s="2">
        <v>-95.923232999999996</v>
      </c>
      <c r="U265" s="1"/>
      <c r="V265" s="1"/>
      <c r="W265" s="5"/>
      <c r="X265" s="1"/>
      <c r="Y265" s="1"/>
      <c r="Z265" s="1"/>
      <c r="AA265" s="1"/>
      <c r="AB265" s="1"/>
      <c r="AC265" s="2" t="s">
        <v>41</v>
      </c>
      <c r="AD265" s="2">
        <f t="shared" si="4"/>
        <v>2019</v>
      </c>
    </row>
    <row r="266" spans="1:30" hidden="1">
      <c r="A266" s="2" t="s">
        <v>1261</v>
      </c>
      <c r="B266" s="3">
        <v>43536</v>
      </c>
      <c r="C266" s="1" t="s">
        <v>1394</v>
      </c>
      <c r="D266" s="1" t="s">
        <v>65</v>
      </c>
      <c r="E266" s="1" t="s">
        <v>66</v>
      </c>
      <c r="F266" s="1" t="s">
        <v>34</v>
      </c>
      <c r="G266" s="2" t="s">
        <v>1395</v>
      </c>
      <c r="H266" s="1" t="s">
        <v>68</v>
      </c>
      <c r="I266" s="6"/>
      <c r="J266" s="4">
        <v>30</v>
      </c>
      <c r="L266" s="4"/>
      <c r="M266" s="1" t="s">
        <v>85</v>
      </c>
      <c r="N266" s="1" t="s">
        <v>86</v>
      </c>
      <c r="O266" s="8" t="s">
        <v>1396</v>
      </c>
      <c r="P266" s="1" t="s">
        <v>965</v>
      </c>
      <c r="Q266" s="1" t="s">
        <v>1397</v>
      </c>
      <c r="R266" s="2">
        <v>55415</v>
      </c>
      <c r="S266" s="2">
        <v>44.977995999999997</v>
      </c>
      <c r="T266" s="2">
        <v>-93.263401999999999</v>
      </c>
      <c r="U266" s="1"/>
      <c r="V266" s="1"/>
      <c r="W266" s="5"/>
      <c r="X266" s="1"/>
      <c r="Y266" s="1"/>
      <c r="Z266" s="1"/>
      <c r="AA266" s="1"/>
      <c r="AB266" s="1"/>
      <c r="AC266" s="2" t="s">
        <v>51</v>
      </c>
      <c r="AD266" s="2">
        <f t="shared" si="4"/>
        <v>2019</v>
      </c>
    </row>
    <row r="267" spans="1:30" hidden="1">
      <c r="A267" s="2" t="s">
        <v>1261</v>
      </c>
      <c r="B267" s="3">
        <v>43537</v>
      </c>
      <c r="C267" s="1" t="s">
        <v>1398</v>
      </c>
      <c r="D267" s="1" t="s">
        <v>340</v>
      </c>
      <c r="E267" s="1" t="s">
        <v>66</v>
      </c>
      <c r="F267" s="1" t="s">
        <v>34</v>
      </c>
      <c r="G267" s="2" t="s">
        <v>1399</v>
      </c>
      <c r="H267" s="1" t="s">
        <v>1400</v>
      </c>
      <c r="I267" s="6"/>
      <c r="J267" s="4"/>
      <c r="L267" s="4">
        <v>45000</v>
      </c>
      <c r="M267" s="1" t="s">
        <v>47</v>
      </c>
      <c r="N267" s="1" t="s">
        <v>48</v>
      </c>
      <c r="O267" s="1" t="s">
        <v>1401</v>
      </c>
      <c r="P267" s="1" t="s">
        <v>965</v>
      </c>
      <c r="Q267" s="1" t="s">
        <v>1402</v>
      </c>
      <c r="R267" s="2">
        <v>55441</v>
      </c>
      <c r="S267" s="2">
        <v>45.003210000000003</v>
      </c>
      <c r="T267" s="2">
        <v>-93.450675000000004</v>
      </c>
      <c r="U267" s="1"/>
      <c r="V267" s="1"/>
      <c r="W267" s="5"/>
      <c r="X267" s="1"/>
      <c r="Y267" s="1"/>
      <c r="Z267" s="1"/>
      <c r="AA267" s="1"/>
      <c r="AB267" s="1"/>
      <c r="AC267" s="2" t="s">
        <v>51</v>
      </c>
      <c r="AD267" s="2">
        <f t="shared" si="4"/>
        <v>2019</v>
      </c>
    </row>
    <row r="268" spans="1:30" hidden="1">
      <c r="A268" s="2" t="s">
        <v>1261</v>
      </c>
      <c r="B268" s="3">
        <v>43540</v>
      </c>
      <c r="C268" s="1" t="s">
        <v>1403</v>
      </c>
      <c r="D268" s="1" t="s">
        <v>1404</v>
      </c>
      <c r="E268" s="1" t="s">
        <v>66</v>
      </c>
      <c r="F268" s="1" t="s">
        <v>34</v>
      </c>
      <c r="G268" s="2" t="s">
        <v>1405</v>
      </c>
      <c r="H268" s="1" t="s">
        <v>46</v>
      </c>
      <c r="I268" s="6"/>
      <c r="J268" s="4">
        <v>3</v>
      </c>
      <c r="L268" s="4"/>
      <c r="M268" s="1" t="s">
        <v>93</v>
      </c>
      <c r="N268" s="1" t="s">
        <v>48</v>
      </c>
      <c r="O268" s="7" t="s">
        <v>1406</v>
      </c>
      <c r="P268" s="1" t="s">
        <v>285</v>
      </c>
      <c r="Q268" s="1" t="s">
        <v>1407</v>
      </c>
      <c r="R268" s="2">
        <v>55369</v>
      </c>
      <c r="S268" s="2">
        <v>45.115319</v>
      </c>
      <c r="T268" s="2">
        <v>-93.402073999999999</v>
      </c>
      <c r="U268" s="1"/>
      <c r="V268" s="1"/>
      <c r="W268" s="5"/>
      <c r="X268" s="1"/>
      <c r="Y268" s="1"/>
      <c r="Z268" s="1"/>
      <c r="AA268" s="1"/>
      <c r="AB268" s="1"/>
      <c r="AC268" s="2" t="s">
        <v>51</v>
      </c>
      <c r="AD268" s="2">
        <f t="shared" si="4"/>
        <v>2019</v>
      </c>
    </row>
    <row r="269" spans="1:30" hidden="1">
      <c r="A269" s="2" t="s">
        <v>1261</v>
      </c>
      <c r="B269" s="3">
        <v>43540</v>
      </c>
      <c r="C269" s="1" t="s">
        <v>1408</v>
      </c>
      <c r="D269" s="1" t="s">
        <v>1404</v>
      </c>
      <c r="E269" s="1" t="s">
        <v>66</v>
      </c>
      <c r="F269" s="1" t="s">
        <v>34</v>
      </c>
      <c r="G269" s="2" t="s">
        <v>1409</v>
      </c>
      <c r="H269" s="1" t="s">
        <v>48</v>
      </c>
      <c r="I269" s="6"/>
      <c r="J269" s="4">
        <v>5</v>
      </c>
      <c r="L269" s="4"/>
      <c r="M269" s="1" t="s">
        <v>93</v>
      </c>
      <c r="N269" s="1" t="s">
        <v>48</v>
      </c>
      <c r="O269" s="1" t="s">
        <v>1406</v>
      </c>
      <c r="P269" s="1" t="s">
        <v>285</v>
      </c>
      <c r="Q269" s="1" t="s">
        <v>1407</v>
      </c>
      <c r="R269" s="2">
        <v>55369</v>
      </c>
      <c r="S269" s="2">
        <v>45.115319</v>
      </c>
      <c r="T269" s="2">
        <v>-93.402073999999999</v>
      </c>
      <c r="U269" s="1"/>
      <c r="V269" s="1"/>
      <c r="W269" s="5"/>
      <c r="X269" s="1"/>
      <c r="Y269" s="1" t="s">
        <v>1403</v>
      </c>
      <c r="Z269" s="1" t="s">
        <v>1404</v>
      </c>
      <c r="AA269" s="1" t="s">
        <v>34</v>
      </c>
      <c r="AB269" s="1"/>
      <c r="AC269" s="2" t="s">
        <v>51</v>
      </c>
      <c r="AD269" s="2">
        <f t="shared" si="4"/>
        <v>2019</v>
      </c>
    </row>
    <row r="270" spans="1:30" hidden="1">
      <c r="A270" s="2" t="s">
        <v>1261</v>
      </c>
      <c r="B270" s="3">
        <v>43542</v>
      </c>
      <c r="C270" s="1" t="s">
        <v>1410</v>
      </c>
      <c r="D270" s="1" t="s">
        <v>372</v>
      </c>
      <c r="E270" s="1" t="s">
        <v>373</v>
      </c>
      <c r="F270" s="1" t="s">
        <v>34</v>
      </c>
      <c r="G270" s="2" t="s">
        <v>1411</v>
      </c>
      <c r="H270" s="1" t="s">
        <v>248</v>
      </c>
      <c r="I270" s="6"/>
      <c r="J270" s="4"/>
      <c r="L270" s="4"/>
      <c r="M270" s="1"/>
      <c r="N270" s="1" t="s">
        <v>77</v>
      </c>
      <c r="O270" s="1" t="s">
        <v>1412</v>
      </c>
      <c r="P270" s="1" t="s">
        <v>965</v>
      </c>
      <c r="Q270" s="1" t="s">
        <v>1413</v>
      </c>
      <c r="R270" s="2">
        <v>56001</v>
      </c>
      <c r="S270" s="2">
        <v>44.128324999999997</v>
      </c>
      <c r="T270" s="2">
        <v>-93.978863000000004</v>
      </c>
      <c r="U270" s="1"/>
      <c r="V270" s="1"/>
      <c r="W270" s="5"/>
      <c r="X270" s="1"/>
      <c r="Y270" s="1" t="s">
        <v>1410</v>
      </c>
      <c r="Z270" s="1" t="s">
        <v>1414</v>
      </c>
      <c r="AA270" s="1" t="s">
        <v>961</v>
      </c>
      <c r="AB270" s="1"/>
      <c r="AC270" s="2" t="s">
        <v>120</v>
      </c>
      <c r="AD270" s="2">
        <f t="shared" si="4"/>
        <v>2019</v>
      </c>
    </row>
    <row r="271" spans="1:30" hidden="1">
      <c r="A271" s="2" t="s">
        <v>1261</v>
      </c>
      <c r="B271" s="3">
        <v>43542</v>
      </c>
      <c r="C271" s="1" t="s">
        <v>1410</v>
      </c>
      <c r="D271" s="1" t="s">
        <v>90</v>
      </c>
      <c r="E271" s="1" t="s">
        <v>91</v>
      </c>
      <c r="F271" s="1" t="s">
        <v>34</v>
      </c>
      <c r="G271" s="2" t="s">
        <v>1411</v>
      </c>
      <c r="H271" s="1" t="s">
        <v>188</v>
      </c>
      <c r="I271" s="6"/>
      <c r="J271" s="4"/>
      <c r="L271" s="4"/>
      <c r="M271" s="1"/>
      <c r="N271" s="1" t="s">
        <v>77</v>
      </c>
      <c r="O271" s="1" t="s">
        <v>1412</v>
      </c>
      <c r="P271" s="1" t="s">
        <v>965</v>
      </c>
      <c r="Q271" s="1"/>
      <c r="R271" s="2">
        <v>55811</v>
      </c>
      <c r="S271" s="2">
        <v>46.814712</v>
      </c>
      <c r="T271" s="2">
        <v>-92.199825000000004</v>
      </c>
      <c r="U271" s="1"/>
      <c r="V271" s="1"/>
      <c r="W271" s="5"/>
      <c r="X271" s="1"/>
      <c r="Y271" s="1" t="s">
        <v>1410</v>
      </c>
      <c r="Z271" s="1" t="s">
        <v>1414</v>
      </c>
      <c r="AA271" s="1" t="s">
        <v>961</v>
      </c>
      <c r="AB271" s="1"/>
      <c r="AC271" s="2" t="s">
        <v>97</v>
      </c>
      <c r="AD271" s="2">
        <f t="shared" si="4"/>
        <v>2019</v>
      </c>
    </row>
    <row r="272" spans="1:30" hidden="1">
      <c r="A272" s="2" t="s">
        <v>1261</v>
      </c>
      <c r="B272" s="3">
        <v>43547</v>
      </c>
      <c r="C272" s="1" t="s">
        <v>251</v>
      </c>
      <c r="D272" s="1" t="s">
        <v>65</v>
      </c>
      <c r="E272" s="1" t="s">
        <v>66</v>
      </c>
      <c r="F272" s="1" t="s">
        <v>34</v>
      </c>
      <c r="G272" s="2" t="s">
        <v>1415</v>
      </c>
      <c r="H272" s="1" t="s">
        <v>68</v>
      </c>
      <c r="I272" s="6">
        <v>50000000</v>
      </c>
      <c r="J272" s="4"/>
      <c r="L272" s="4"/>
      <c r="M272" s="1"/>
      <c r="N272" s="1" t="s">
        <v>253</v>
      </c>
      <c r="O272" s="1" t="s">
        <v>1416</v>
      </c>
      <c r="P272" s="2" t="s">
        <v>285</v>
      </c>
      <c r="Q272" s="1" t="s">
        <v>255</v>
      </c>
      <c r="R272" s="2">
        <v>55403</v>
      </c>
      <c r="S272" s="2">
        <v>44.973618999999999</v>
      </c>
      <c r="T272" s="2">
        <v>-93.275666000000001</v>
      </c>
      <c r="U272" s="1"/>
      <c r="V272" s="1"/>
      <c r="W272" s="1"/>
      <c r="X272" s="1"/>
      <c r="Y272" s="1"/>
      <c r="Z272" s="1"/>
      <c r="AA272" s="1"/>
      <c r="AB272" s="1"/>
      <c r="AC272" s="2" t="s">
        <v>51</v>
      </c>
      <c r="AD272" s="2">
        <f t="shared" si="4"/>
        <v>2019</v>
      </c>
    </row>
    <row r="273" spans="1:30" hidden="1">
      <c r="A273" s="2" t="s">
        <v>1261</v>
      </c>
      <c r="B273" s="3">
        <v>43549</v>
      </c>
      <c r="C273" s="1" t="s">
        <v>1417</v>
      </c>
      <c r="D273" s="1" t="s">
        <v>1418</v>
      </c>
      <c r="E273" s="1" t="s">
        <v>1419</v>
      </c>
      <c r="F273" s="1" t="s">
        <v>34</v>
      </c>
      <c r="G273" s="2" t="s">
        <v>1420</v>
      </c>
      <c r="H273" s="1" t="s">
        <v>46</v>
      </c>
      <c r="I273" s="6">
        <v>17800000</v>
      </c>
      <c r="J273" s="4">
        <v>14</v>
      </c>
      <c r="L273" s="4">
        <v>19000</v>
      </c>
      <c r="M273" s="1" t="s">
        <v>93</v>
      </c>
      <c r="N273" s="1" t="s">
        <v>48</v>
      </c>
      <c r="O273" s="7" t="s">
        <v>1421</v>
      </c>
      <c r="P273" s="1" t="s">
        <v>1422</v>
      </c>
      <c r="Q273" s="1" t="s">
        <v>1423</v>
      </c>
      <c r="R273" s="2">
        <v>56308</v>
      </c>
      <c r="S273" s="2">
        <v>45.897011999999997</v>
      </c>
      <c r="T273" s="2">
        <v>-95.391520999999997</v>
      </c>
      <c r="U273" s="1" t="s">
        <v>60</v>
      </c>
      <c r="V273" s="1" t="s">
        <v>1306</v>
      </c>
      <c r="W273" s="5">
        <v>175000</v>
      </c>
      <c r="X273" s="1"/>
      <c r="Y273" s="1"/>
      <c r="Z273" s="1"/>
      <c r="AA273" s="1"/>
      <c r="AB273" s="1"/>
      <c r="AC273" s="2" t="s">
        <v>41</v>
      </c>
      <c r="AD273" s="2">
        <f t="shared" si="4"/>
        <v>2019</v>
      </c>
    </row>
    <row r="274" spans="1:30" hidden="1">
      <c r="A274" s="2" t="s">
        <v>1261</v>
      </c>
      <c r="B274" s="3">
        <v>43549</v>
      </c>
      <c r="C274" s="1" t="s">
        <v>1424</v>
      </c>
      <c r="D274" s="1" t="s">
        <v>65</v>
      </c>
      <c r="E274" s="1" t="s">
        <v>66</v>
      </c>
      <c r="F274" s="1" t="s">
        <v>34</v>
      </c>
      <c r="G274" s="2" t="s">
        <v>1425</v>
      </c>
      <c r="H274" s="1" t="s">
        <v>68</v>
      </c>
      <c r="I274" s="6"/>
      <c r="J274" s="4">
        <v>30</v>
      </c>
      <c r="L274" s="4">
        <v>3900</v>
      </c>
      <c r="M274" s="1"/>
      <c r="N274" s="1" t="s">
        <v>384</v>
      </c>
      <c r="O274" s="7" t="s">
        <v>1426</v>
      </c>
      <c r="P274" s="1" t="s">
        <v>285</v>
      </c>
      <c r="Q274" s="1" t="s">
        <v>1427</v>
      </c>
      <c r="R274" s="2">
        <v>55402</v>
      </c>
      <c r="S274" s="2">
        <v>44.974505999999998</v>
      </c>
      <c r="T274" s="2">
        <v>-93.273522999999997</v>
      </c>
      <c r="U274" s="1"/>
      <c r="V274" s="1"/>
      <c r="W274" s="5"/>
      <c r="X274" s="1"/>
      <c r="Y274" s="1"/>
      <c r="Z274" s="1"/>
      <c r="AA274" s="1"/>
      <c r="AB274" s="1"/>
      <c r="AC274" s="2" t="s">
        <v>51</v>
      </c>
      <c r="AD274" s="2">
        <f t="shared" si="4"/>
        <v>2019</v>
      </c>
    </row>
    <row r="275" spans="1:30" hidden="1">
      <c r="A275" s="2" t="s">
        <v>1261</v>
      </c>
      <c r="B275" s="3">
        <v>43549</v>
      </c>
      <c r="C275" s="1" t="s">
        <v>1428</v>
      </c>
      <c r="D275" s="1" t="s">
        <v>1429</v>
      </c>
      <c r="E275" s="1" t="s">
        <v>1430</v>
      </c>
      <c r="F275" s="1" t="s">
        <v>34</v>
      </c>
      <c r="G275" s="2" t="s">
        <v>1431</v>
      </c>
      <c r="H275" s="1" t="s">
        <v>36</v>
      </c>
      <c r="I275" s="6">
        <v>15000000</v>
      </c>
      <c r="J275" s="4"/>
      <c r="L275" s="4">
        <v>38000</v>
      </c>
      <c r="M275" s="1"/>
      <c r="N275" s="1" t="s">
        <v>37</v>
      </c>
      <c r="O275" s="8" t="s">
        <v>1432</v>
      </c>
      <c r="P275" s="1" t="s">
        <v>188</v>
      </c>
      <c r="Q275" s="1" t="s">
        <v>1433</v>
      </c>
      <c r="R275" s="2">
        <v>55616</v>
      </c>
      <c r="S275" s="2">
        <v>47.030327999999997</v>
      </c>
      <c r="T275" s="2">
        <v>-91.666939999999997</v>
      </c>
      <c r="U275" s="1"/>
      <c r="V275" s="1"/>
      <c r="W275" s="5"/>
      <c r="X275" s="1" t="s">
        <v>1434</v>
      </c>
      <c r="Y275" s="1" t="s">
        <v>90</v>
      </c>
      <c r="Z275" s="1" t="s">
        <v>34</v>
      </c>
      <c r="AA275" s="1"/>
      <c r="AB275" s="1"/>
      <c r="AC275" s="2" t="s">
        <v>97</v>
      </c>
      <c r="AD275" s="2">
        <f t="shared" si="4"/>
        <v>2019</v>
      </c>
    </row>
    <row r="276" spans="1:30" hidden="1">
      <c r="A276" s="2" t="s">
        <v>1261</v>
      </c>
      <c r="B276" s="3">
        <v>43550</v>
      </c>
      <c r="C276" s="1" t="s">
        <v>1435</v>
      </c>
      <c r="D276" s="1" t="s">
        <v>219</v>
      </c>
      <c r="E276" s="1" t="s">
        <v>44</v>
      </c>
      <c r="F276" s="1" t="s">
        <v>34</v>
      </c>
      <c r="G276" s="2" t="s">
        <v>1436</v>
      </c>
      <c r="H276" s="1" t="s">
        <v>48</v>
      </c>
      <c r="I276" s="6">
        <v>54000000</v>
      </c>
      <c r="J276" s="4">
        <v>35</v>
      </c>
      <c r="L276" s="4">
        <v>17000</v>
      </c>
      <c r="M276" s="1" t="s">
        <v>684</v>
      </c>
      <c r="N276" s="1" t="s">
        <v>48</v>
      </c>
      <c r="O276" s="8" t="s">
        <v>1437</v>
      </c>
      <c r="P276" s="1" t="s">
        <v>647</v>
      </c>
      <c r="Q276" s="1"/>
      <c r="R276" s="2">
        <v>55016</v>
      </c>
      <c r="S276" s="2">
        <v>44.818216</v>
      </c>
      <c r="T276" s="2">
        <v>-92.928610000000006</v>
      </c>
      <c r="U276" s="1" t="s">
        <v>60</v>
      </c>
      <c r="V276" s="1" t="s">
        <v>1438</v>
      </c>
      <c r="W276" s="5">
        <f>437000+250000+175000</f>
        <v>862000</v>
      </c>
      <c r="X276" s="1"/>
      <c r="Y276" s="1" t="s">
        <v>1439</v>
      </c>
      <c r="Z276" s="1" t="s">
        <v>1440</v>
      </c>
      <c r="AA276" s="1" t="s">
        <v>1441</v>
      </c>
      <c r="AB276" s="1"/>
      <c r="AC276" s="2" t="s">
        <v>51</v>
      </c>
      <c r="AD276" s="2">
        <f t="shared" si="4"/>
        <v>2019</v>
      </c>
    </row>
    <row r="277" spans="1:30" hidden="1">
      <c r="A277" s="2" t="s">
        <v>1261</v>
      </c>
      <c r="B277" s="3">
        <v>43551</v>
      </c>
      <c r="C277" s="1" t="s">
        <v>1442</v>
      </c>
      <c r="D277" s="1" t="s">
        <v>65</v>
      </c>
      <c r="E277" s="1" t="s">
        <v>66</v>
      </c>
      <c r="F277" s="1" t="s">
        <v>34</v>
      </c>
      <c r="G277" s="2" t="s">
        <v>1443</v>
      </c>
      <c r="H277" s="1" t="s">
        <v>153</v>
      </c>
      <c r="I277" s="6"/>
      <c r="J277" s="4">
        <v>70</v>
      </c>
      <c r="L277" s="4"/>
      <c r="M277" s="1" t="s">
        <v>85</v>
      </c>
      <c r="N277" s="1" t="s">
        <v>86</v>
      </c>
      <c r="O277" s="1" t="s">
        <v>1444</v>
      </c>
      <c r="P277" s="1" t="s">
        <v>965</v>
      </c>
      <c r="Q277" s="1" t="s">
        <v>1445</v>
      </c>
      <c r="R277" s="2">
        <v>55401</v>
      </c>
      <c r="S277" s="2">
        <v>44.981299</v>
      </c>
      <c r="T277" s="2">
        <v>-93.273304999999993</v>
      </c>
      <c r="U277" s="1"/>
      <c r="V277" s="1"/>
      <c r="W277" s="5"/>
      <c r="X277" s="1"/>
      <c r="Y277" s="1"/>
      <c r="Z277" s="1"/>
      <c r="AA277" s="1"/>
      <c r="AB277" s="1"/>
      <c r="AC277" s="2" t="s">
        <v>51</v>
      </c>
      <c r="AD277" s="2">
        <f t="shared" si="4"/>
        <v>2019</v>
      </c>
    </row>
    <row r="278" spans="1:30" hidden="1">
      <c r="A278" s="2" t="s">
        <v>1261</v>
      </c>
      <c r="B278" s="3">
        <v>43551</v>
      </c>
      <c r="C278" s="1" t="s">
        <v>1446</v>
      </c>
      <c r="D278" s="1" t="s">
        <v>65</v>
      </c>
      <c r="E278" s="1" t="s">
        <v>66</v>
      </c>
      <c r="F278" s="1" t="s">
        <v>34</v>
      </c>
      <c r="G278" s="2" t="s">
        <v>1447</v>
      </c>
      <c r="H278" s="1" t="s">
        <v>101</v>
      </c>
      <c r="I278" s="6"/>
      <c r="J278" s="4"/>
      <c r="L278" s="4"/>
      <c r="M278" s="1"/>
      <c r="N278" s="1" t="s">
        <v>665</v>
      </c>
      <c r="O278" s="1" t="s">
        <v>1448</v>
      </c>
      <c r="P278" s="1" t="s">
        <v>188</v>
      </c>
      <c r="Q278" s="1"/>
      <c r="R278" s="2">
        <v>55402</v>
      </c>
      <c r="S278" s="2">
        <v>44.975915000000001</v>
      </c>
      <c r="T278" s="2">
        <v>-93.271825000000007</v>
      </c>
      <c r="U278" s="1"/>
      <c r="V278" s="1"/>
      <c r="W278" s="5"/>
      <c r="X278" s="1"/>
      <c r="Y278" s="1" t="s">
        <v>1446</v>
      </c>
      <c r="Z278" s="1" t="s">
        <v>1122</v>
      </c>
      <c r="AA278" s="1" t="s">
        <v>1123</v>
      </c>
      <c r="AB278" s="1"/>
      <c r="AC278" s="2" t="s">
        <v>51</v>
      </c>
      <c r="AD278" s="2">
        <f t="shared" si="4"/>
        <v>2019</v>
      </c>
    </row>
    <row r="279" spans="1:30" hidden="1">
      <c r="A279" s="2" t="s">
        <v>1261</v>
      </c>
      <c r="B279" s="3">
        <v>43553</v>
      </c>
      <c r="C279" s="1" t="s">
        <v>1449</v>
      </c>
      <c r="D279" s="1" t="s">
        <v>340</v>
      </c>
      <c r="E279" s="1" t="s">
        <v>66</v>
      </c>
      <c r="F279" s="1" t="s">
        <v>34</v>
      </c>
      <c r="G279" s="2" t="s">
        <v>1450</v>
      </c>
      <c r="H279" s="1" t="s">
        <v>101</v>
      </c>
      <c r="I279" s="6"/>
      <c r="J279" s="4"/>
      <c r="L279" s="4"/>
      <c r="M279" s="1" t="s">
        <v>93</v>
      </c>
      <c r="N279" s="1" t="s">
        <v>48</v>
      </c>
      <c r="O279" s="8" t="s">
        <v>1451</v>
      </c>
      <c r="P279" s="1" t="s">
        <v>1327</v>
      </c>
      <c r="Q279" s="1" t="s">
        <v>1452</v>
      </c>
      <c r="R279" s="2">
        <v>55441</v>
      </c>
      <c r="S279" s="2">
        <v>45.015411999999998</v>
      </c>
      <c r="T279" s="2">
        <v>-93.454604000000003</v>
      </c>
      <c r="U279" s="1"/>
      <c r="V279" s="1"/>
      <c r="W279" s="5"/>
      <c r="X279" s="1" t="s">
        <v>116</v>
      </c>
      <c r="Y279" s="1" t="s">
        <v>1453</v>
      </c>
      <c r="Z279" s="1" t="s">
        <v>756</v>
      </c>
      <c r="AA279" s="1"/>
      <c r="AB279" s="1" t="s">
        <v>757</v>
      </c>
      <c r="AC279" s="2" t="s">
        <v>51</v>
      </c>
      <c r="AD279" s="2">
        <f t="shared" si="4"/>
        <v>2019</v>
      </c>
    </row>
    <row r="280" spans="1:30" hidden="1">
      <c r="A280" s="2" t="s">
        <v>1261</v>
      </c>
      <c r="B280" s="3">
        <v>43554</v>
      </c>
      <c r="C280" s="1" t="s">
        <v>1454</v>
      </c>
      <c r="D280" s="1" t="s">
        <v>203</v>
      </c>
      <c r="E280" s="2" t="s">
        <v>74</v>
      </c>
      <c r="F280" s="1" t="s">
        <v>34</v>
      </c>
      <c r="G280" s="2" t="s">
        <v>1455</v>
      </c>
      <c r="H280" s="1" t="s">
        <v>68</v>
      </c>
      <c r="I280" s="6"/>
      <c r="J280" s="4"/>
      <c r="L280" s="4"/>
      <c r="M280" s="2" t="s">
        <v>159</v>
      </c>
      <c r="N280" s="1" t="s">
        <v>86</v>
      </c>
      <c r="O280" s="1" t="s">
        <v>1456</v>
      </c>
      <c r="P280" s="1" t="s">
        <v>285</v>
      </c>
      <c r="Q280" s="1"/>
      <c r="R280" s="2">
        <v>55123</v>
      </c>
      <c r="S280" s="2">
        <v>44.804265999999998</v>
      </c>
      <c r="T280" s="2">
        <v>-93.136812000000006</v>
      </c>
      <c r="U280" s="1"/>
      <c r="V280" s="1"/>
      <c r="W280" s="5"/>
      <c r="X280" s="1"/>
      <c r="Y280" s="1" t="s">
        <v>1457</v>
      </c>
      <c r="Z280" s="1" t="s">
        <v>1458</v>
      </c>
      <c r="AA280" s="1" t="s">
        <v>638</v>
      </c>
      <c r="AB280" s="1"/>
      <c r="AC280" s="2" t="s">
        <v>51</v>
      </c>
      <c r="AD280" s="2">
        <f t="shared" si="4"/>
        <v>2019</v>
      </c>
    </row>
    <row r="281" spans="1:30" hidden="1">
      <c r="A281" s="2" t="s">
        <v>1459</v>
      </c>
      <c r="B281" s="3">
        <v>43556</v>
      </c>
      <c r="C281" s="238" t="s">
        <v>1460</v>
      </c>
      <c r="D281" s="1" t="s">
        <v>625</v>
      </c>
      <c r="E281" s="1" t="s">
        <v>182</v>
      </c>
      <c r="F281" s="1" t="s">
        <v>34</v>
      </c>
      <c r="G281" s="2" t="s">
        <v>1461</v>
      </c>
      <c r="H281" s="1" t="s">
        <v>48</v>
      </c>
      <c r="I281" s="9"/>
      <c r="J281" s="33">
        <v>15</v>
      </c>
      <c r="L281" s="4"/>
      <c r="M281" s="1"/>
      <c r="N281" s="1" t="s">
        <v>1462</v>
      </c>
      <c r="O281" s="1" t="s">
        <v>1463</v>
      </c>
      <c r="P281" s="1" t="s">
        <v>376</v>
      </c>
      <c r="Q281" s="1" t="s">
        <v>1464</v>
      </c>
      <c r="R281" s="2">
        <v>56003</v>
      </c>
      <c r="S281" s="2">
        <v>44.191080999999997</v>
      </c>
      <c r="T281" s="2">
        <v>-94.026843</v>
      </c>
      <c r="U281" s="1"/>
      <c r="V281" s="1"/>
      <c r="W281" s="29"/>
      <c r="X281" s="1" t="s">
        <v>1465</v>
      </c>
      <c r="Y281" s="1" t="s">
        <v>1466</v>
      </c>
      <c r="Z281" s="1" t="s">
        <v>1466</v>
      </c>
      <c r="AA281" s="1" t="s">
        <v>757</v>
      </c>
      <c r="AB281" s="1"/>
      <c r="AC281" s="2" t="s">
        <v>120</v>
      </c>
      <c r="AD281" s="2">
        <f t="shared" si="4"/>
        <v>2019</v>
      </c>
    </row>
    <row r="282" spans="1:30" hidden="1">
      <c r="A282" s="2" t="s">
        <v>1459</v>
      </c>
      <c r="B282" s="3">
        <v>43557</v>
      </c>
      <c r="C282" s="1" t="s">
        <v>1467</v>
      </c>
      <c r="D282" s="1" t="s">
        <v>415</v>
      </c>
      <c r="E282" s="1" t="s">
        <v>395</v>
      </c>
      <c r="F282" s="1" t="s">
        <v>34</v>
      </c>
      <c r="G282" s="2" t="s">
        <v>1468</v>
      </c>
      <c r="H282" s="1" t="s">
        <v>188</v>
      </c>
      <c r="I282" s="6"/>
      <c r="J282" s="4"/>
      <c r="L282" s="4">
        <v>10000</v>
      </c>
      <c r="M282" s="1"/>
      <c r="N282" s="2" t="s">
        <v>610</v>
      </c>
      <c r="O282" s="1" t="s">
        <v>1469</v>
      </c>
      <c r="P282" s="1" t="s">
        <v>1470</v>
      </c>
      <c r="Q282" s="1" t="s">
        <v>1471</v>
      </c>
      <c r="R282" s="2">
        <v>56301</v>
      </c>
      <c r="S282" s="2">
        <v>45.548335999999999</v>
      </c>
      <c r="T282" s="2">
        <v>-94.198069000000004</v>
      </c>
      <c r="U282" s="1"/>
      <c r="V282" s="1"/>
      <c r="W282" s="5"/>
      <c r="X282" s="1"/>
      <c r="Y282" s="1"/>
      <c r="Z282" s="1"/>
      <c r="AA282" s="1"/>
      <c r="AB282" s="1"/>
      <c r="AC282" s="2" t="s">
        <v>41</v>
      </c>
      <c r="AD282" s="2">
        <f t="shared" si="4"/>
        <v>2019</v>
      </c>
    </row>
    <row r="283" spans="1:30" hidden="1">
      <c r="A283" s="2" t="s">
        <v>1459</v>
      </c>
      <c r="B283" s="3">
        <v>43560</v>
      </c>
      <c r="C283" s="1" t="s">
        <v>1472</v>
      </c>
      <c r="D283" s="1" t="s">
        <v>415</v>
      </c>
      <c r="E283" s="1" t="s">
        <v>395</v>
      </c>
      <c r="F283" s="1" t="s">
        <v>34</v>
      </c>
      <c r="G283" s="2" t="s">
        <v>1473</v>
      </c>
      <c r="H283" s="1" t="s">
        <v>1080</v>
      </c>
      <c r="I283" s="6"/>
      <c r="J283" s="4">
        <v>100</v>
      </c>
      <c r="L283" s="4">
        <v>300000</v>
      </c>
      <c r="M283" s="1" t="s">
        <v>47</v>
      </c>
      <c r="N283" s="1" t="s">
        <v>48</v>
      </c>
      <c r="O283" s="1" t="s">
        <v>1474</v>
      </c>
      <c r="P283" s="1" t="s">
        <v>1470</v>
      </c>
      <c r="Q283" s="1" t="s">
        <v>1475</v>
      </c>
      <c r="R283" s="2">
        <v>56301</v>
      </c>
      <c r="S283" s="2">
        <v>45.468041999999997</v>
      </c>
      <c r="T283" s="2">
        <v>-94.127781999999996</v>
      </c>
      <c r="U283" s="1"/>
      <c r="V283" s="1"/>
      <c r="W283" s="5"/>
      <c r="X283" s="1"/>
      <c r="Y283" s="1"/>
      <c r="Z283" s="1"/>
      <c r="AA283" s="1"/>
      <c r="AB283" s="1"/>
      <c r="AC283" s="2" t="s">
        <v>41</v>
      </c>
      <c r="AD283" s="2">
        <f t="shared" si="4"/>
        <v>2019</v>
      </c>
    </row>
    <row r="284" spans="1:30" hidden="1">
      <c r="A284" s="2" t="s">
        <v>1459</v>
      </c>
      <c r="B284" s="3">
        <v>43563</v>
      </c>
      <c r="C284" s="1" t="s">
        <v>1476</v>
      </c>
      <c r="D284" s="1" t="s">
        <v>1477</v>
      </c>
      <c r="E284" s="1" t="s">
        <v>1478</v>
      </c>
      <c r="F284" s="1" t="s">
        <v>34</v>
      </c>
      <c r="G284" s="2" t="s">
        <v>1479</v>
      </c>
      <c r="H284" s="1" t="s">
        <v>1480</v>
      </c>
      <c r="I284" s="6">
        <v>1200000</v>
      </c>
      <c r="J284" s="4">
        <v>8</v>
      </c>
      <c r="K284" s="2">
        <v>29</v>
      </c>
      <c r="L284" s="4"/>
      <c r="M284" s="1"/>
      <c r="N284" s="1" t="s">
        <v>313</v>
      </c>
      <c r="O284" s="1" t="s">
        <v>1481</v>
      </c>
      <c r="P284" s="1" t="s">
        <v>1372</v>
      </c>
      <c r="Q284" s="1" t="s">
        <v>1482</v>
      </c>
      <c r="R284" s="2">
        <v>55975</v>
      </c>
      <c r="S284" s="2">
        <v>43.689711000000003</v>
      </c>
      <c r="T284" s="2">
        <v>-92.334603000000001</v>
      </c>
      <c r="U284" s="1" t="s">
        <v>60</v>
      </c>
      <c r="V284" s="1" t="s">
        <v>287</v>
      </c>
      <c r="W284" s="5">
        <v>608966</v>
      </c>
      <c r="X284" s="1"/>
      <c r="Y284" s="1"/>
      <c r="Z284" s="1"/>
      <c r="AA284" s="1"/>
      <c r="AB284" s="1"/>
      <c r="AC284" s="2" t="s">
        <v>120</v>
      </c>
      <c r="AD284" s="2">
        <f t="shared" si="4"/>
        <v>2019</v>
      </c>
    </row>
    <row r="285" spans="1:30" hidden="1">
      <c r="A285" s="2" t="s">
        <v>1459</v>
      </c>
      <c r="B285" s="3">
        <v>43563</v>
      </c>
      <c r="C285" s="1" t="s">
        <v>1483</v>
      </c>
      <c r="D285" s="1" t="s">
        <v>1477</v>
      </c>
      <c r="E285" s="1" t="s">
        <v>1478</v>
      </c>
      <c r="F285" s="1" t="s">
        <v>34</v>
      </c>
      <c r="G285" s="2" t="s">
        <v>1484</v>
      </c>
      <c r="H285" s="1" t="s">
        <v>46</v>
      </c>
      <c r="I285" s="6">
        <v>950000</v>
      </c>
      <c r="J285" s="4">
        <v>20</v>
      </c>
      <c r="K285" s="2">
        <v>37</v>
      </c>
      <c r="L285" s="4"/>
      <c r="M285" s="1" t="s">
        <v>574</v>
      </c>
      <c r="N285" s="1" t="s">
        <v>48</v>
      </c>
      <c r="O285" s="1" t="s">
        <v>1485</v>
      </c>
      <c r="P285" s="1" t="s">
        <v>1372</v>
      </c>
      <c r="Q285" s="1" t="s">
        <v>1486</v>
      </c>
      <c r="R285" s="2">
        <v>55975</v>
      </c>
      <c r="S285" s="2">
        <v>43.699928</v>
      </c>
      <c r="T285" s="2">
        <v>-92.401505999999998</v>
      </c>
      <c r="U285" s="1" t="s">
        <v>60</v>
      </c>
      <c r="V285" s="1" t="s">
        <v>287</v>
      </c>
      <c r="W285" s="5">
        <v>608966</v>
      </c>
      <c r="X285" s="1"/>
      <c r="Y285" s="1"/>
      <c r="Z285" s="1"/>
      <c r="AA285" s="1"/>
      <c r="AB285" s="1"/>
      <c r="AC285" s="2" t="s">
        <v>120</v>
      </c>
      <c r="AD285" s="2">
        <f t="shared" si="4"/>
        <v>2019</v>
      </c>
    </row>
    <row r="286" spans="1:30" hidden="1">
      <c r="A286" s="2" t="s">
        <v>1459</v>
      </c>
      <c r="B286" s="3">
        <v>43564</v>
      </c>
      <c r="C286" s="1" t="s">
        <v>1487</v>
      </c>
      <c r="D286" s="1" t="s">
        <v>65</v>
      </c>
      <c r="E286" s="1" t="s">
        <v>66</v>
      </c>
      <c r="F286" s="1" t="s">
        <v>34</v>
      </c>
      <c r="G286" s="2" t="s">
        <v>1488</v>
      </c>
      <c r="H286" s="1" t="s">
        <v>101</v>
      </c>
      <c r="I286" s="9"/>
      <c r="J286" s="4">
        <v>10</v>
      </c>
      <c r="L286" s="4"/>
      <c r="M286" s="1" t="s">
        <v>167</v>
      </c>
      <c r="N286" s="1" t="s">
        <v>48</v>
      </c>
      <c r="O286" s="1" t="s">
        <v>1489</v>
      </c>
      <c r="P286" s="1" t="s">
        <v>965</v>
      </c>
      <c r="Q286" s="1"/>
      <c r="R286" s="2">
        <v>55402</v>
      </c>
      <c r="S286" s="2">
        <v>44.975915000000001</v>
      </c>
      <c r="T286" s="2">
        <v>-93.271825000000007</v>
      </c>
      <c r="U286" s="1" t="s">
        <v>143</v>
      </c>
      <c r="V286" s="1"/>
      <c r="W286" s="29"/>
      <c r="X286" s="1"/>
      <c r="Y286" s="1" t="s">
        <v>1487</v>
      </c>
      <c r="Z286" s="1" t="s">
        <v>1490</v>
      </c>
      <c r="AA286" s="1" t="s">
        <v>1491</v>
      </c>
      <c r="AB286" s="1"/>
      <c r="AC286" s="2" t="s">
        <v>51</v>
      </c>
      <c r="AD286" s="2">
        <f t="shared" si="4"/>
        <v>2019</v>
      </c>
    </row>
    <row r="287" spans="1:30" hidden="1">
      <c r="A287" s="2" t="s">
        <v>1459</v>
      </c>
      <c r="B287" s="3">
        <v>43567</v>
      </c>
      <c r="C287" s="2" t="s">
        <v>1492</v>
      </c>
      <c r="D287" s="1" t="s">
        <v>340</v>
      </c>
      <c r="E287" s="1" t="s">
        <v>66</v>
      </c>
      <c r="F287" s="1" t="s">
        <v>34</v>
      </c>
      <c r="G287" s="2" t="s">
        <v>1493</v>
      </c>
      <c r="H287" s="1" t="s">
        <v>147</v>
      </c>
      <c r="I287" s="6">
        <v>21000000</v>
      </c>
      <c r="J287" s="4">
        <v>65</v>
      </c>
      <c r="L287" s="4"/>
      <c r="M287" s="1" t="s">
        <v>574</v>
      </c>
      <c r="N287" s="1" t="s">
        <v>48</v>
      </c>
      <c r="O287" s="7" t="s">
        <v>1494</v>
      </c>
      <c r="P287" s="1" t="s">
        <v>1372</v>
      </c>
      <c r="Q287" s="1" t="s">
        <v>1495</v>
      </c>
      <c r="R287" s="2">
        <v>55442</v>
      </c>
      <c r="S287" s="2">
        <v>45.040920999999997</v>
      </c>
      <c r="T287" s="2">
        <v>-93.405298000000002</v>
      </c>
      <c r="U287" s="1" t="s">
        <v>60</v>
      </c>
      <c r="V287" s="1" t="s">
        <v>1496</v>
      </c>
      <c r="W287" s="5">
        <v>1300000</v>
      </c>
      <c r="X287" s="1"/>
      <c r="Y287" s="1" t="s">
        <v>1497</v>
      </c>
      <c r="Z287" s="1" t="s">
        <v>1498</v>
      </c>
      <c r="AA287" s="1" t="s">
        <v>1499</v>
      </c>
      <c r="AB287" s="1"/>
      <c r="AC287" s="2" t="s">
        <v>51</v>
      </c>
      <c r="AD287" s="2">
        <f t="shared" si="4"/>
        <v>2019</v>
      </c>
    </row>
    <row r="288" spans="1:30" hidden="1">
      <c r="A288" s="2" t="s">
        <v>1459</v>
      </c>
      <c r="B288" s="3">
        <v>43567</v>
      </c>
      <c r="C288" s="1" t="s">
        <v>1500</v>
      </c>
      <c r="D288" s="1" t="s">
        <v>1501</v>
      </c>
      <c r="E288" s="1" t="s">
        <v>677</v>
      </c>
      <c r="F288" s="1" t="s">
        <v>34</v>
      </c>
      <c r="G288" s="2" t="s">
        <v>1502</v>
      </c>
      <c r="H288" s="1" t="s">
        <v>46</v>
      </c>
      <c r="I288" s="6">
        <v>8600000</v>
      </c>
      <c r="J288" s="4">
        <v>10</v>
      </c>
      <c r="L288" s="4">
        <f>145775-65300</f>
        <v>80475</v>
      </c>
      <c r="M288" s="1" t="s">
        <v>57</v>
      </c>
      <c r="N288" s="1" t="s">
        <v>48</v>
      </c>
      <c r="O288" s="1" t="s">
        <v>1503</v>
      </c>
      <c r="P288" s="1" t="s">
        <v>647</v>
      </c>
      <c r="Q288" s="2" t="s">
        <v>1504</v>
      </c>
      <c r="R288" s="2">
        <v>55448</v>
      </c>
      <c r="S288" s="2">
        <v>45.17445</v>
      </c>
      <c r="T288" s="2">
        <v>-93.295148999999995</v>
      </c>
      <c r="U288" s="1" t="s">
        <v>60</v>
      </c>
      <c r="V288" s="1" t="s">
        <v>1505</v>
      </c>
      <c r="W288" s="5" t="s">
        <v>1506</v>
      </c>
      <c r="X288" s="1"/>
      <c r="Y288" s="1"/>
      <c r="Z288" s="1"/>
      <c r="AA288" s="1"/>
      <c r="AB288" s="1"/>
      <c r="AC288" s="2" t="s">
        <v>51</v>
      </c>
      <c r="AD288" s="2">
        <f t="shared" si="4"/>
        <v>2019</v>
      </c>
    </row>
    <row r="289" spans="1:30" hidden="1">
      <c r="A289" s="2" t="s">
        <v>1459</v>
      </c>
      <c r="B289" s="3">
        <v>43575</v>
      </c>
      <c r="C289" s="1" t="s">
        <v>1507</v>
      </c>
      <c r="D289" s="1" t="s">
        <v>65</v>
      </c>
      <c r="E289" s="1" t="s">
        <v>66</v>
      </c>
      <c r="F289" s="1" t="s">
        <v>34</v>
      </c>
      <c r="G289" s="2" t="s">
        <v>1508</v>
      </c>
      <c r="H289" s="1" t="s">
        <v>101</v>
      </c>
      <c r="I289" s="6"/>
      <c r="J289" s="4"/>
      <c r="L289" s="4"/>
      <c r="M289" s="1"/>
      <c r="N289" s="1" t="s">
        <v>37</v>
      </c>
      <c r="O289" s="8" t="s">
        <v>1509</v>
      </c>
      <c r="P289" s="1" t="s">
        <v>1510</v>
      </c>
      <c r="Q289" s="1" t="s">
        <v>1511</v>
      </c>
      <c r="R289" s="2">
        <v>55415</v>
      </c>
      <c r="S289" s="2">
        <v>44.977282000000002</v>
      </c>
      <c r="T289" s="2">
        <v>-93.261274</v>
      </c>
      <c r="U289" s="1"/>
      <c r="V289" s="1"/>
      <c r="W289" s="5"/>
      <c r="X289" s="1"/>
      <c r="Y289" s="1"/>
      <c r="Z289" s="1" t="s">
        <v>44</v>
      </c>
      <c r="AA289" s="1" t="s">
        <v>1512</v>
      </c>
      <c r="AB289" s="1"/>
      <c r="AC289" s="2" t="s">
        <v>51</v>
      </c>
      <c r="AD289" s="2">
        <f t="shared" si="4"/>
        <v>2019</v>
      </c>
    </row>
    <row r="290" spans="1:30" hidden="1">
      <c r="A290" s="2" t="s">
        <v>1459</v>
      </c>
      <c r="B290" s="3">
        <v>43577</v>
      </c>
      <c r="C290" s="1" t="s">
        <v>1513</v>
      </c>
      <c r="D290" s="1" t="s">
        <v>1078</v>
      </c>
      <c r="E290" s="1" t="s">
        <v>91</v>
      </c>
      <c r="F290" s="1" t="s">
        <v>34</v>
      </c>
      <c r="G290" s="2" t="s">
        <v>1514</v>
      </c>
      <c r="H290" s="1" t="s">
        <v>68</v>
      </c>
      <c r="I290" s="6">
        <v>1200000</v>
      </c>
      <c r="J290" s="4">
        <v>20</v>
      </c>
      <c r="L290" s="4">
        <v>17000</v>
      </c>
      <c r="M290" s="1" t="s">
        <v>294</v>
      </c>
      <c r="N290" s="1" t="s">
        <v>86</v>
      </c>
      <c r="O290" s="1" t="s">
        <v>1515</v>
      </c>
      <c r="P290" s="1" t="s">
        <v>188</v>
      </c>
      <c r="Q290" s="1" t="s">
        <v>1516</v>
      </c>
      <c r="R290" s="2">
        <v>55746</v>
      </c>
      <c r="S290" s="2">
        <v>47.438941999999997</v>
      </c>
      <c r="T290" s="2">
        <v>-92.934849999999997</v>
      </c>
      <c r="U290" s="1" t="s">
        <v>60</v>
      </c>
      <c r="V290" s="1" t="s">
        <v>1517</v>
      </c>
      <c r="W290" s="5" t="s">
        <v>1518</v>
      </c>
      <c r="X290" s="1"/>
      <c r="Y290" s="1"/>
      <c r="Z290" s="1"/>
      <c r="AA290" s="1"/>
      <c r="AB290" s="1"/>
      <c r="AC290" s="2" t="s">
        <v>97</v>
      </c>
      <c r="AD290" s="2">
        <f t="shared" si="4"/>
        <v>2019</v>
      </c>
    </row>
    <row r="291" spans="1:30" hidden="1">
      <c r="A291" s="2" t="s">
        <v>1459</v>
      </c>
      <c r="B291" s="3">
        <v>43577</v>
      </c>
      <c r="C291" s="1" t="s">
        <v>1519</v>
      </c>
      <c r="D291" s="1" t="s">
        <v>65</v>
      </c>
      <c r="E291" s="1" t="s">
        <v>66</v>
      </c>
      <c r="F291" s="1" t="s">
        <v>34</v>
      </c>
      <c r="G291" s="2" t="s">
        <v>1520</v>
      </c>
      <c r="H291" s="1" t="s">
        <v>68</v>
      </c>
      <c r="I291" s="6"/>
      <c r="J291" s="4"/>
      <c r="L291" s="4"/>
      <c r="M291" s="1" t="s">
        <v>318</v>
      </c>
      <c r="N291" s="1" t="s">
        <v>86</v>
      </c>
      <c r="O291" s="1" t="s">
        <v>1521</v>
      </c>
      <c r="P291" s="1" t="s">
        <v>647</v>
      </c>
      <c r="Q291" s="1" t="s">
        <v>1522</v>
      </c>
      <c r="R291" s="2">
        <v>55402</v>
      </c>
      <c r="S291" s="2">
        <v>44.975459999999998</v>
      </c>
      <c r="T291" s="2">
        <v>-93.272667999999996</v>
      </c>
      <c r="U291" s="1"/>
      <c r="V291" s="1"/>
      <c r="W291" s="5"/>
      <c r="X291" s="1"/>
      <c r="Y291" s="1"/>
      <c r="Z291" s="1"/>
      <c r="AA291" s="1"/>
      <c r="AB291" s="1"/>
      <c r="AC291" s="2" t="s">
        <v>51</v>
      </c>
      <c r="AD291" s="2">
        <f t="shared" si="4"/>
        <v>2019</v>
      </c>
    </row>
    <row r="292" spans="1:30" hidden="1">
      <c r="A292" s="2" t="s">
        <v>1459</v>
      </c>
      <c r="B292" s="3">
        <v>43578</v>
      </c>
      <c r="C292" s="1" t="s">
        <v>1523</v>
      </c>
      <c r="D292" s="1" t="s">
        <v>528</v>
      </c>
      <c r="E292" s="1" t="s">
        <v>66</v>
      </c>
      <c r="F292" s="1" t="s">
        <v>34</v>
      </c>
      <c r="G292" s="2" t="s">
        <v>1524</v>
      </c>
      <c r="H292" s="1" t="s">
        <v>101</v>
      </c>
      <c r="I292" s="6">
        <v>1630000</v>
      </c>
      <c r="J292" s="4"/>
      <c r="L292" s="4"/>
      <c r="M292" s="1"/>
      <c r="N292" s="1" t="s">
        <v>77</v>
      </c>
      <c r="O292" s="1" t="s">
        <v>1525</v>
      </c>
      <c r="P292" s="1" t="s">
        <v>285</v>
      </c>
      <c r="Q292" s="1" t="s">
        <v>1526</v>
      </c>
      <c r="R292" s="2">
        <v>55450</v>
      </c>
      <c r="S292" s="2">
        <v>44.876691999999998</v>
      </c>
      <c r="T292" s="2">
        <v>-93.244967000000003</v>
      </c>
      <c r="U292" s="1"/>
      <c r="V292" s="1"/>
      <c r="W292" s="5"/>
      <c r="X292" s="1" t="s">
        <v>116</v>
      </c>
      <c r="Y292" s="1" t="s">
        <v>1527</v>
      </c>
      <c r="Z292" s="1" t="s">
        <v>1528</v>
      </c>
      <c r="AA292" s="1"/>
      <c r="AB292" s="1" t="s">
        <v>347</v>
      </c>
      <c r="AC292" s="2" t="s">
        <v>51</v>
      </c>
      <c r="AD292" s="2">
        <f t="shared" si="4"/>
        <v>2019</v>
      </c>
    </row>
    <row r="293" spans="1:30" hidden="1">
      <c r="A293" s="2" t="s">
        <v>1459</v>
      </c>
      <c r="B293" s="3">
        <v>43579</v>
      </c>
      <c r="C293" s="1" t="s">
        <v>1529</v>
      </c>
      <c r="D293" s="1" t="s">
        <v>65</v>
      </c>
      <c r="E293" s="1" t="s">
        <v>66</v>
      </c>
      <c r="F293" s="1" t="s">
        <v>34</v>
      </c>
      <c r="G293" s="2" t="s">
        <v>1530</v>
      </c>
      <c r="H293" s="1" t="s">
        <v>101</v>
      </c>
      <c r="I293" s="6"/>
      <c r="J293" s="4"/>
      <c r="L293" s="4">
        <v>5100</v>
      </c>
      <c r="M293" s="1" t="s">
        <v>132</v>
      </c>
      <c r="N293" s="1" t="s">
        <v>48</v>
      </c>
      <c r="O293" s="8" t="s">
        <v>1531</v>
      </c>
      <c r="P293" s="1" t="s">
        <v>1532</v>
      </c>
      <c r="Q293" s="1" t="s">
        <v>1533</v>
      </c>
      <c r="R293" s="2">
        <v>55402</v>
      </c>
      <c r="S293" s="2">
        <v>44.978945000000003</v>
      </c>
      <c r="T293" s="2">
        <v>-93.271663000000004</v>
      </c>
      <c r="U293" s="1"/>
      <c r="V293" s="1"/>
      <c r="W293" s="5"/>
      <c r="X293" s="1" t="s">
        <v>116</v>
      </c>
      <c r="Y293" s="1" t="s">
        <v>1529</v>
      </c>
      <c r="Z293" s="1" t="s">
        <v>1534</v>
      </c>
      <c r="AA293" s="1"/>
      <c r="AB293" s="1" t="s">
        <v>119</v>
      </c>
      <c r="AC293" s="2" t="s">
        <v>51</v>
      </c>
      <c r="AD293" s="2">
        <f t="shared" si="4"/>
        <v>2019</v>
      </c>
    </row>
    <row r="294" spans="1:30" hidden="1">
      <c r="A294" s="2" t="s">
        <v>1459</v>
      </c>
      <c r="B294" s="3">
        <v>43580</v>
      </c>
      <c r="C294" s="1" t="s">
        <v>1535</v>
      </c>
      <c r="D294" s="1" t="s">
        <v>467</v>
      </c>
      <c r="E294" s="1" t="s">
        <v>468</v>
      </c>
      <c r="F294" s="1" t="s">
        <v>34</v>
      </c>
      <c r="G294" s="2" t="s">
        <v>1536</v>
      </c>
      <c r="H294" s="1" t="s">
        <v>48</v>
      </c>
      <c r="I294" s="6">
        <v>32000000</v>
      </c>
      <c r="J294" s="4">
        <v>5</v>
      </c>
      <c r="L294" s="4"/>
      <c r="M294" s="1" t="s">
        <v>684</v>
      </c>
      <c r="N294" s="1" t="s">
        <v>48</v>
      </c>
      <c r="O294" s="1" t="s">
        <v>1537</v>
      </c>
      <c r="P294" s="1" t="s">
        <v>647</v>
      </c>
      <c r="Q294" s="1"/>
      <c r="R294" s="2">
        <v>55021</v>
      </c>
      <c r="S294" s="2">
        <v>44.362870000000001</v>
      </c>
      <c r="T294" s="2">
        <v>-93.267455999999996</v>
      </c>
      <c r="U294" s="1"/>
      <c r="V294" s="1"/>
      <c r="W294" s="5"/>
      <c r="X294" s="1"/>
      <c r="Y294" s="1" t="s">
        <v>1538</v>
      </c>
      <c r="Z294" s="1" t="s">
        <v>1539</v>
      </c>
      <c r="AA294" s="1" t="s">
        <v>1540</v>
      </c>
      <c r="AB294" s="1"/>
      <c r="AC294" s="2" t="s">
        <v>120</v>
      </c>
      <c r="AD294" s="2">
        <f t="shared" si="4"/>
        <v>2019</v>
      </c>
    </row>
    <row r="295" spans="1:30" hidden="1">
      <c r="A295" s="2" t="s">
        <v>1459</v>
      </c>
      <c r="B295" s="3">
        <v>43580</v>
      </c>
      <c r="C295" s="1" t="s">
        <v>1541</v>
      </c>
      <c r="D295" s="1" t="s">
        <v>65</v>
      </c>
      <c r="E295" s="1" t="s">
        <v>66</v>
      </c>
      <c r="F295" s="1" t="s">
        <v>34</v>
      </c>
      <c r="G295" s="2" t="s">
        <v>1542</v>
      </c>
      <c r="H295" s="1" t="s">
        <v>188</v>
      </c>
      <c r="I295" s="6"/>
      <c r="J295" s="4">
        <v>25</v>
      </c>
      <c r="L295" s="4"/>
      <c r="M295" s="1" t="s">
        <v>47</v>
      </c>
      <c r="N295" s="1" t="s">
        <v>48</v>
      </c>
      <c r="O295" s="1" t="s">
        <v>1543</v>
      </c>
      <c r="P295" s="1" t="s">
        <v>965</v>
      </c>
      <c r="Q295" s="1" t="s">
        <v>1544</v>
      </c>
      <c r="R295" s="2">
        <v>55404</v>
      </c>
      <c r="S295" s="2">
        <v>44.958998000000001</v>
      </c>
      <c r="T295" s="2">
        <v>-93.241935999999995</v>
      </c>
      <c r="U295" s="1"/>
      <c r="V295" s="1"/>
      <c r="W295" s="5"/>
      <c r="X295" s="1"/>
      <c r="Y295" s="1"/>
      <c r="Z295" s="1"/>
      <c r="AA295" s="1"/>
      <c r="AB295" s="1"/>
      <c r="AC295" s="2" t="s">
        <v>51</v>
      </c>
      <c r="AD295" s="2">
        <f t="shared" si="4"/>
        <v>2019</v>
      </c>
    </row>
    <row r="296" spans="1:30" hidden="1">
      <c r="A296" s="2" t="s">
        <v>1459</v>
      </c>
      <c r="B296" s="3">
        <v>43580</v>
      </c>
      <c r="C296" s="1" t="s">
        <v>1545</v>
      </c>
      <c r="D296" s="1" t="s">
        <v>1546</v>
      </c>
      <c r="E296" s="1" t="s">
        <v>952</v>
      </c>
      <c r="F296" s="1" t="s">
        <v>34</v>
      </c>
      <c r="G296" s="2" t="s">
        <v>1547</v>
      </c>
      <c r="H296" s="1" t="s">
        <v>68</v>
      </c>
      <c r="I296" s="6">
        <v>14500000</v>
      </c>
      <c r="J296" s="4">
        <v>15</v>
      </c>
      <c r="L296" s="4">
        <v>35000</v>
      </c>
      <c r="M296" s="1"/>
      <c r="N296" s="1" t="s">
        <v>384</v>
      </c>
      <c r="O296" s="7" t="s">
        <v>1548</v>
      </c>
      <c r="P296" s="1" t="s">
        <v>1372</v>
      </c>
      <c r="Q296" s="1" t="s">
        <v>1549</v>
      </c>
      <c r="R296" s="2">
        <v>56310</v>
      </c>
      <c r="S296" s="2">
        <v>45.599386000000003</v>
      </c>
      <c r="T296" s="2">
        <v>-94.436476999999996</v>
      </c>
      <c r="U296" s="1" t="s">
        <v>60</v>
      </c>
      <c r="V296" s="1" t="s">
        <v>1306</v>
      </c>
      <c r="W296" s="5" t="s">
        <v>1550</v>
      </c>
      <c r="X296" s="1"/>
      <c r="Y296" s="1"/>
      <c r="Z296" s="1"/>
      <c r="AA296" s="1"/>
      <c r="AB296" s="1"/>
      <c r="AC296" s="2" t="s">
        <v>41</v>
      </c>
      <c r="AD296" s="2">
        <f t="shared" si="4"/>
        <v>2019</v>
      </c>
    </row>
    <row r="297" spans="1:30" hidden="1">
      <c r="A297" s="2" t="s">
        <v>1459</v>
      </c>
      <c r="B297" s="3">
        <v>43581</v>
      </c>
      <c r="C297" s="1" t="s">
        <v>1551</v>
      </c>
      <c r="D297" s="1" t="s">
        <v>65</v>
      </c>
      <c r="E297" s="1" t="s">
        <v>66</v>
      </c>
      <c r="F297" s="1" t="s">
        <v>34</v>
      </c>
      <c r="G297" s="2" t="s">
        <v>1552</v>
      </c>
      <c r="H297" s="1" t="s">
        <v>101</v>
      </c>
      <c r="I297" s="6"/>
      <c r="J297" s="4">
        <v>75</v>
      </c>
      <c r="L297" s="4"/>
      <c r="M297" s="1"/>
      <c r="N297" s="1" t="s">
        <v>140</v>
      </c>
      <c r="O297" s="1" t="s">
        <v>1553</v>
      </c>
      <c r="P297" s="1" t="s">
        <v>965</v>
      </c>
      <c r="Q297" s="1" t="s">
        <v>1554</v>
      </c>
      <c r="R297" s="2">
        <v>55401</v>
      </c>
      <c r="S297" s="2">
        <v>44.984810000000003</v>
      </c>
      <c r="T297" s="2">
        <v>-93.270264999999995</v>
      </c>
      <c r="U297" s="1" t="s">
        <v>143</v>
      </c>
      <c r="V297" s="1"/>
      <c r="W297" s="5"/>
      <c r="X297" s="1"/>
      <c r="Y297" s="1"/>
      <c r="Z297" s="1"/>
      <c r="AA297" s="1"/>
      <c r="AB297" s="1"/>
      <c r="AC297" s="2" t="s">
        <v>51</v>
      </c>
      <c r="AD297" s="2">
        <f t="shared" si="4"/>
        <v>2019</v>
      </c>
    </row>
    <row r="298" spans="1:30" hidden="1">
      <c r="A298" s="2" t="s">
        <v>1459</v>
      </c>
      <c r="B298" s="3">
        <v>43585</v>
      </c>
      <c r="C298" s="1" t="s">
        <v>1555</v>
      </c>
      <c r="D298" s="1" t="s">
        <v>1556</v>
      </c>
      <c r="E298" s="1" t="s">
        <v>1557</v>
      </c>
      <c r="F298" s="1" t="s">
        <v>34</v>
      </c>
      <c r="G298" s="2" t="s">
        <v>1558</v>
      </c>
      <c r="H298" s="1" t="s">
        <v>68</v>
      </c>
      <c r="I298" s="6">
        <v>1993119</v>
      </c>
      <c r="J298" s="4">
        <v>17</v>
      </c>
      <c r="L298" s="4">
        <v>7290</v>
      </c>
      <c r="M298" s="1" t="s">
        <v>294</v>
      </c>
      <c r="N298" s="1" t="s">
        <v>86</v>
      </c>
      <c r="O298" s="1" t="s">
        <v>1559</v>
      </c>
      <c r="P298" s="1" t="s">
        <v>1372</v>
      </c>
      <c r="Q298" s="1" t="s">
        <v>1560</v>
      </c>
      <c r="R298" s="2">
        <v>55079</v>
      </c>
      <c r="S298" s="2">
        <v>45.388632999999999</v>
      </c>
      <c r="T298" s="2">
        <v>-92.980306999999996</v>
      </c>
      <c r="U298" s="1" t="s">
        <v>60</v>
      </c>
      <c r="V298" s="1" t="s">
        <v>1306</v>
      </c>
      <c r="W298" s="5">
        <v>180000</v>
      </c>
      <c r="X298" s="1"/>
      <c r="Y298" s="1"/>
      <c r="Z298" s="1"/>
      <c r="AA298" s="1"/>
      <c r="AB298" s="1"/>
      <c r="AC298" s="2" t="s">
        <v>41</v>
      </c>
      <c r="AD298" s="2">
        <f t="shared" si="4"/>
        <v>2019</v>
      </c>
    </row>
    <row r="299" spans="1:30" hidden="1">
      <c r="A299" s="2" t="s">
        <v>1459</v>
      </c>
      <c r="B299" s="3">
        <v>43586</v>
      </c>
      <c r="C299" s="1" t="s">
        <v>1561</v>
      </c>
      <c r="D299" s="1" t="s">
        <v>1501</v>
      </c>
      <c r="E299" s="1" t="s">
        <v>677</v>
      </c>
      <c r="F299" s="1" t="s">
        <v>34</v>
      </c>
      <c r="G299" s="2" t="s">
        <v>1562</v>
      </c>
      <c r="H299" s="1" t="s">
        <v>188</v>
      </c>
      <c r="I299" s="9"/>
      <c r="J299" s="33"/>
      <c r="L299" s="4">
        <v>138000</v>
      </c>
      <c r="M299" s="1"/>
      <c r="N299" s="2" t="s">
        <v>69</v>
      </c>
      <c r="O299" s="1" t="s">
        <v>1563</v>
      </c>
      <c r="P299" s="1" t="s">
        <v>647</v>
      </c>
      <c r="Q299" s="1" t="s">
        <v>1564</v>
      </c>
      <c r="R299" s="2">
        <v>55433</v>
      </c>
      <c r="S299" s="2">
        <v>45.196756999999998</v>
      </c>
      <c r="T299" s="2">
        <v>-93.343712999999994</v>
      </c>
      <c r="U299" s="1"/>
      <c r="V299" s="1"/>
      <c r="W299" s="29"/>
      <c r="X299" s="1"/>
      <c r="Y299" s="1" t="s">
        <v>1561</v>
      </c>
      <c r="Z299" s="1" t="s">
        <v>1565</v>
      </c>
      <c r="AA299" s="1" t="s">
        <v>261</v>
      </c>
      <c r="AB299" s="1"/>
      <c r="AC299" s="2" t="s">
        <v>51</v>
      </c>
      <c r="AD299" s="2">
        <f t="shared" si="4"/>
        <v>2019</v>
      </c>
    </row>
    <row r="300" spans="1:30" hidden="1">
      <c r="A300" s="2" t="s">
        <v>1459</v>
      </c>
      <c r="B300" s="3">
        <v>43587</v>
      </c>
      <c r="C300" s="1" t="s">
        <v>1566</v>
      </c>
      <c r="D300" s="1" t="s">
        <v>96</v>
      </c>
      <c r="E300" s="1" t="s">
        <v>99</v>
      </c>
      <c r="F300" s="1" t="s">
        <v>34</v>
      </c>
      <c r="G300" s="2" t="s">
        <v>1567</v>
      </c>
      <c r="H300" s="1" t="s">
        <v>101</v>
      </c>
      <c r="I300" s="6"/>
      <c r="J300" s="4">
        <v>10</v>
      </c>
      <c r="L300" s="4"/>
      <c r="M300" s="1" t="s">
        <v>299</v>
      </c>
      <c r="N300" s="1" t="s">
        <v>300</v>
      </c>
      <c r="O300" s="1" t="s">
        <v>1568</v>
      </c>
      <c r="P300" s="1" t="s">
        <v>285</v>
      </c>
      <c r="Q300" s="1" t="s">
        <v>1569</v>
      </c>
      <c r="R300" s="2">
        <v>55102</v>
      </c>
      <c r="S300" s="2">
        <v>44.946480000000001</v>
      </c>
      <c r="T300" s="2">
        <v>-93.096622999999994</v>
      </c>
      <c r="U300" s="1"/>
      <c r="V300" s="1"/>
      <c r="W300" s="5"/>
      <c r="X300" s="1"/>
      <c r="Y300" s="1" t="s">
        <v>1570</v>
      </c>
      <c r="Z300" s="1" t="s">
        <v>841</v>
      </c>
      <c r="AA300" s="1" t="s">
        <v>638</v>
      </c>
      <c r="AB300" s="1"/>
      <c r="AC300" s="2" t="s">
        <v>51</v>
      </c>
      <c r="AD300" s="2">
        <f t="shared" si="4"/>
        <v>2019</v>
      </c>
    </row>
    <row r="301" spans="1:30" hidden="1">
      <c r="A301" s="2" t="s">
        <v>1459</v>
      </c>
      <c r="B301" s="3">
        <v>43590</v>
      </c>
      <c r="C301" s="1" t="s">
        <v>1571</v>
      </c>
      <c r="D301" s="1" t="s">
        <v>1205</v>
      </c>
      <c r="E301" s="2" t="s">
        <v>1572</v>
      </c>
      <c r="F301" s="1" t="s">
        <v>34</v>
      </c>
      <c r="G301" s="2" t="s">
        <v>1573</v>
      </c>
      <c r="H301" s="1" t="s">
        <v>554</v>
      </c>
      <c r="I301" s="6">
        <v>2521944</v>
      </c>
      <c r="J301" s="4">
        <v>20</v>
      </c>
      <c r="L301" s="4"/>
      <c r="M301" s="1" t="s">
        <v>574</v>
      </c>
      <c r="N301" s="1" t="s">
        <v>48</v>
      </c>
      <c r="O301" s="1" t="s">
        <v>1574</v>
      </c>
      <c r="P301" s="1" t="s">
        <v>188</v>
      </c>
      <c r="Q301" s="1" t="s">
        <v>1575</v>
      </c>
      <c r="R301" s="2">
        <v>56031</v>
      </c>
      <c r="S301" s="2">
        <v>43.666660999999998</v>
      </c>
      <c r="T301" s="2">
        <v>-94.451969000000005</v>
      </c>
      <c r="U301" s="1" t="s">
        <v>60</v>
      </c>
      <c r="V301" s="1" t="s">
        <v>1576</v>
      </c>
      <c r="W301" s="5">
        <v>300000</v>
      </c>
      <c r="X301" s="1"/>
      <c r="Y301" s="1"/>
      <c r="Z301" s="1"/>
      <c r="AA301" s="1"/>
      <c r="AB301" s="1"/>
      <c r="AC301" s="2" t="s">
        <v>120</v>
      </c>
      <c r="AD301" s="2">
        <f t="shared" si="4"/>
        <v>2019</v>
      </c>
    </row>
    <row r="302" spans="1:30" hidden="1">
      <c r="A302" s="2" t="s">
        <v>1459</v>
      </c>
      <c r="B302" s="3">
        <v>43591</v>
      </c>
      <c r="C302" s="1" t="s">
        <v>1577</v>
      </c>
      <c r="D302" s="1" t="s">
        <v>591</v>
      </c>
      <c r="E302" s="1" t="s">
        <v>66</v>
      </c>
      <c r="F302" s="1" t="s">
        <v>34</v>
      </c>
      <c r="G302" s="2" t="s">
        <v>1578</v>
      </c>
      <c r="H302" s="1" t="s">
        <v>68</v>
      </c>
      <c r="I302" s="6"/>
      <c r="J302" s="4"/>
      <c r="L302" s="4">
        <v>3500</v>
      </c>
      <c r="M302" s="1" t="s">
        <v>390</v>
      </c>
      <c r="N302" s="1" t="s">
        <v>86</v>
      </c>
      <c r="O302" s="1" t="s">
        <v>1579</v>
      </c>
      <c r="P302" s="1" t="s">
        <v>647</v>
      </c>
      <c r="Q302" s="1" t="s">
        <v>1580</v>
      </c>
      <c r="R302" s="2">
        <v>55305</v>
      </c>
      <c r="S302" s="2">
        <v>44.974438999999997</v>
      </c>
      <c r="T302" s="2">
        <v>-93.415177999999997</v>
      </c>
      <c r="U302" s="1"/>
      <c r="V302" s="1"/>
      <c r="W302" s="5"/>
      <c r="X302" s="1"/>
      <c r="Y302" s="1"/>
      <c r="Z302" s="1"/>
      <c r="AA302" s="1"/>
      <c r="AB302" s="1"/>
      <c r="AC302" s="2" t="s">
        <v>51</v>
      </c>
      <c r="AD302" s="2">
        <f t="shared" si="4"/>
        <v>2019</v>
      </c>
    </row>
    <row r="303" spans="1:30" hidden="1">
      <c r="A303" s="2" t="s">
        <v>1459</v>
      </c>
      <c r="B303" s="3">
        <v>43592</v>
      </c>
      <c r="C303" s="1" t="s">
        <v>442</v>
      </c>
      <c r="D303" s="1" t="s">
        <v>165</v>
      </c>
      <c r="E303" s="1" t="s">
        <v>66</v>
      </c>
      <c r="F303" s="1" t="s">
        <v>34</v>
      </c>
      <c r="G303" s="2" t="s">
        <v>1581</v>
      </c>
      <c r="H303" s="1" t="s">
        <v>1028</v>
      </c>
      <c r="I303" s="6">
        <v>4900000</v>
      </c>
      <c r="J303" s="4">
        <v>45</v>
      </c>
      <c r="L303" s="4">
        <v>67000</v>
      </c>
      <c r="M303" s="1"/>
      <c r="N303" s="1" t="s">
        <v>253</v>
      </c>
      <c r="O303" s="1" t="s">
        <v>1582</v>
      </c>
      <c r="P303" s="1" t="s">
        <v>965</v>
      </c>
      <c r="Q303" s="1" t="s">
        <v>1583</v>
      </c>
      <c r="R303" s="2">
        <v>55369</v>
      </c>
      <c r="S303" s="2">
        <v>45.119976000000001</v>
      </c>
      <c r="T303" s="2">
        <v>-93.416737999999995</v>
      </c>
      <c r="U303" s="1"/>
      <c r="V303" s="1"/>
      <c r="W303" s="5"/>
      <c r="X303" s="1"/>
      <c r="Y303" s="1" t="s">
        <v>442</v>
      </c>
      <c r="Z303" s="1" t="s">
        <v>875</v>
      </c>
      <c r="AA303" s="1" t="s">
        <v>328</v>
      </c>
      <c r="AB303" s="1"/>
      <c r="AC303" s="2" t="s">
        <v>51</v>
      </c>
      <c r="AD303" s="2">
        <f t="shared" si="4"/>
        <v>2019</v>
      </c>
    </row>
    <row r="304" spans="1:30" hidden="1">
      <c r="A304" s="2" t="s">
        <v>1459</v>
      </c>
      <c r="B304" s="3">
        <v>43592</v>
      </c>
      <c r="C304" s="1" t="s">
        <v>1584</v>
      </c>
      <c r="D304" s="1" t="s">
        <v>65</v>
      </c>
      <c r="E304" s="1" t="s">
        <v>66</v>
      </c>
      <c r="F304" s="1" t="s">
        <v>34</v>
      </c>
      <c r="G304" s="2" t="s">
        <v>1585</v>
      </c>
      <c r="H304" s="1" t="s">
        <v>68</v>
      </c>
      <c r="I304" s="6"/>
      <c r="J304" s="4"/>
      <c r="L304" s="4"/>
      <c r="M304" s="1"/>
      <c r="N304" s="1" t="s">
        <v>37</v>
      </c>
      <c r="O304" s="1" t="s">
        <v>1586</v>
      </c>
      <c r="P304" s="1" t="s">
        <v>285</v>
      </c>
      <c r="Q304" s="1" t="s">
        <v>1587</v>
      </c>
      <c r="R304" s="2">
        <v>55415</v>
      </c>
      <c r="S304" s="2">
        <v>44.972529000000002</v>
      </c>
      <c r="T304" s="2">
        <v>-93.259131999999994</v>
      </c>
      <c r="U304" s="1"/>
      <c r="V304" s="1"/>
      <c r="W304" s="5"/>
      <c r="X304" s="1"/>
      <c r="Y304" s="1"/>
      <c r="Z304" s="1"/>
      <c r="AA304" s="1"/>
      <c r="AB304" s="1"/>
      <c r="AC304" s="2" t="s">
        <v>51</v>
      </c>
      <c r="AD304" s="2">
        <f t="shared" si="4"/>
        <v>2019</v>
      </c>
    </row>
    <row r="305" spans="1:30" hidden="1">
      <c r="A305" s="2" t="s">
        <v>1459</v>
      </c>
      <c r="B305" s="3">
        <v>43592</v>
      </c>
      <c r="C305" s="1" t="s">
        <v>1588</v>
      </c>
      <c r="D305" s="1" t="s">
        <v>1589</v>
      </c>
      <c r="E305" s="1" t="s">
        <v>1590</v>
      </c>
      <c r="F305" s="1" t="s">
        <v>34</v>
      </c>
      <c r="G305" s="2" t="s">
        <v>1591</v>
      </c>
      <c r="H305" s="1" t="s">
        <v>48</v>
      </c>
      <c r="I305" s="6">
        <v>25000000</v>
      </c>
      <c r="J305" s="4"/>
      <c r="L305" s="4"/>
      <c r="M305" s="1" t="s">
        <v>226</v>
      </c>
      <c r="N305" s="1" t="s">
        <v>48</v>
      </c>
      <c r="O305" s="1" t="s">
        <v>1592</v>
      </c>
      <c r="P305" s="1" t="s">
        <v>1593</v>
      </c>
      <c r="Q305" s="1" t="s">
        <v>1594</v>
      </c>
      <c r="R305" s="2">
        <v>55720</v>
      </c>
      <c r="S305" s="2">
        <v>46.724170000000001</v>
      </c>
      <c r="T305" s="2">
        <v>-92.463890000000006</v>
      </c>
      <c r="U305" s="1"/>
      <c r="V305" s="1"/>
      <c r="W305" s="5"/>
      <c r="X305" s="1" t="s">
        <v>116</v>
      </c>
      <c r="Y305" s="1" t="s">
        <v>1595</v>
      </c>
      <c r="Z305" s="1" t="s">
        <v>1596</v>
      </c>
      <c r="AA305" s="1"/>
      <c r="AB305" s="1" t="s">
        <v>1597</v>
      </c>
      <c r="AC305" s="2" t="s">
        <v>97</v>
      </c>
      <c r="AD305" s="2">
        <f t="shared" si="4"/>
        <v>2019</v>
      </c>
    </row>
    <row r="306" spans="1:30" hidden="1">
      <c r="A306" s="2" t="s">
        <v>1459</v>
      </c>
      <c r="B306" s="3">
        <v>43592</v>
      </c>
      <c r="C306" s="1" t="s">
        <v>1598</v>
      </c>
      <c r="D306" s="1" t="s">
        <v>111</v>
      </c>
      <c r="E306" s="1" t="s">
        <v>112</v>
      </c>
      <c r="F306" s="1" t="s">
        <v>34</v>
      </c>
      <c r="G306" s="2" t="s">
        <v>1599</v>
      </c>
      <c r="H306" s="1" t="s">
        <v>101</v>
      </c>
      <c r="I306" s="6"/>
      <c r="J306" s="4">
        <v>3</v>
      </c>
      <c r="L306" s="4"/>
      <c r="M306" s="1"/>
      <c r="N306" s="1" t="s">
        <v>140</v>
      </c>
      <c r="O306" s="1" t="s">
        <v>1600</v>
      </c>
      <c r="P306" s="1" t="s">
        <v>1532</v>
      </c>
      <c r="Q306" s="1"/>
      <c r="R306" s="2">
        <v>55901</v>
      </c>
      <c r="S306" s="2">
        <v>44.075285000000001</v>
      </c>
      <c r="T306" s="2">
        <v>-92.516915999999995</v>
      </c>
      <c r="U306" s="1"/>
      <c r="V306" s="1"/>
      <c r="W306" s="5"/>
      <c r="X306" s="1"/>
      <c r="Y306" s="1" t="s">
        <v>1598</v>
      </c>
      <c r="Z306" s="1" t="s">
        <v>1601</v>
      </c>
      <c r="AA306" s="1" t="s">
        <v>961</v>
      </c>
      <c r="AB306" s="1"/>
      <c r="AC306" s="1" t="s">
        <v>120</v>
      </c>
      <c r="AD306" s="2">
        <f t="shared" si="4"/>
        <v>2019</v>
      </c>
    </row>
    <row r="307" spans="1:30" hidden="1">
      <c r="A307" s="2" t="s">
        <v>1459</v>
      </c>
      <c r="B307" s="3">
        <v>43592</v>
      </c>
      <c r="C307" s="1" t="s">
        <v>1598</v>
      </c>
      <c r="D307" s="1" t="s">
        <v>800</v>
      </c>
      <c r="E307" s="1" t="s">
        <v>44</v>
      </c>
      <c r="F307" s="1" t="s">
        <v>34</v>
      </c>
      <c r="G307" s="2" t="s">
        <v>1599</v>
      </c>
      <c r="H307" s="1" t="s">
        <v>101</v>
      </c>
      <c r="I307" s="9"/>
      <c r="J307" s="4">
        <v>3</v>
      </c>
      <c r="L307" s="4"/>
      <c r="M307" s="1"/>
      <c r="N307" s="1" t="s">
        <v>140</v>
      </c>
      <c r="O307" s="1" t="s">
        <v>1600</v>
      </c>
      <c r="P307" s="1" t="s">
        <v>1532</v>
      </c>
      <c r="Q307" s="1"/>
      <c r="R307" s="2">
        <v>55125</v>
      </c>
      <c r="S307" s="2">
        <v>44.923855000000003</v>
      </c>
      <c r="T307" s="2">
        <v>-92.959379999999996</v>
      </c>
      <c r="U307" s="1"/>
      <c r="V307" s="1"/>
      <c r="W307" s="5"/>
      <c r="X307" s="1"/>
      <c r="Y307" s="1" t="s">
        <v>1598</v>
      </c>
      <c r="Z307" s="1" t="s">
        <v>1601</v>
      </c>
      <c r="AA307" s="1" t="s">
        <v>961</v>
      </c>
      <c r="AB307" s="1"/>
      <c r="AC307" s="2" t="s">
        <v>51</v>
      </c>
      <c r="AD307" s="2">
        <f t="shared" si="4"/>
        <v>2019</v>
      </c>
    </row>
    <row r="308" spans="1:30" hidden="1">
      <c r="A308" s="2" t="s">
        <v>1459</v>
      </c>
      <c r="B308" s="3">
        <v>43592</v>
      </c>
      <c r="C308" s="1" t="s">
        <v>1598</v>
      </c>
      <c r="D308" s="1" t="s">
        <v>1007</v>
      </c>
      <c r="E308" s="1" t="s">
        <v>66</v>
      </c>
      <c r="F308" s="1" t="s">
        <v>34</v>
      </c>
      <c r="G308" s="2" t="s">
        <v>1599</v>
      </c>
      <c r="H308" s="1" t="s">
        <v>101</v>
      </c>
      <c r="I308" s="6"/>
      <c r="J308" s="4">
        <v>3</v>
      </c>
      <c r="L308" s="4"/>
      <c r="M308" s="1"/>
      <c r="N308" s="1" t="s">
        <v>140</v>
      </c>
      <c r="O308" s="1" t="s">
        <v>1600</v>
      </c>
      <c r="P308" s="1" t="s">
        <v>1532</v>
      </c>
      <c r="Q308" s="1"/>
      <c r="R308" s="2">
        <v>55434</v>
      </c>
      <c r="S308" s="2">
        <v>45.168340000000001</v>
      </c>
      <c r="T308" s="2">
        <v>-93.250337000000002</v>
      </c>
      <c r="U308" s="1"/>
      <c r="V308" s="1"/>
      <c r="W308" s="5"/>
      <c r="X308" s="1"/>
      <c r="Y308" s="1" t="s">
        <v>1598</v>
      </c>
      <c r="Z308" s="1" t="s">
        <v>1601</v>
      </c>
      <c r="AA308" s="1" t="s">
        <v>961</v>
      </c>
      <c r="AB308" s="1"/>
      <c r="AC308" s="2" t="s">
        <v>51</v>
      </c>
      <c r="AD308" s="2">
        <f t="shared" si="4"/>
        <v>2019</v>
      </c>
    </row>
    <row r="309" spans="1:30" hidden="1">
      <c r="A309" s="2" t="s">
        <v>1459</v>
      </c>
      <c r="B309" s="3">
        <v>43593</v>
      </c>
      <c r="C309" s="1" t="s">
        <v>1602</v>
      </c>
      <c r="D309" s="1" t="s">
        <v>676</v>
      </c>
      <c r="E309" s="1" t="s">
        <v>677</v>
      </c>
      <c r="F309" s="1" t="s">
        <v>34</v>
      </c>
      <c r="G309" s="2" t="s">
        <v>1603</v>
      </c>
      <c r="H309" s="1" t="s">
        <v>554</v>
      </c>
      <c r="I309" s="6">
        <v>2250000</v>
      </c>
      <c r="J309" s="4">
        <v>36</v>
      </c>
      <c r="L309" s="4">
        <v>55000</v>
      </c>
      <c r="M309" s="1" t="s">
        <v>93</v>
      </c>
      <c r="N309" s="1" t="s">
        <v>48</v>
      </c>
      <c r="O309" s="8" t="s">
        <v>1604</v>
      </c>
      <c r="P309" s="1" t="s">
        <v>188</v>
      </c>
      <c r="Q309" s="1" t="s">
        <v>1605</v>
      </c>
      <c r="R309" s="2">
        <v>55337</v>
      </c>
      <c r="S309" s="2">
        <v>45.057780999999999</v>
      </c>
      <c r="T309" s="2">
        <v>-93.260249999999999</v>
      </c>
      <c r="U309" s="1" t="s">
        <v>60</v>
      </c>
      <c r="V309" s="1" t="s">
        <v>1576</v>
      </c>
      <c r="W309" s="5">
        <v>100000</v>
      </c>
      <c r="X309" s="1"/>
      <c r="Y309" s="1"/>
      <c r="Z309" s="1" t="s">
        <v>1606</v>
      </c>
      <c r="AA309" s="1" t="s">
        <v>261</v>
      </c>
      <c r="AB309" s="1"/>
      <c r="AC309" s="2" t="s">
        <v>51</v>
      </c>
      <c r="AD309" s="2">
        <f t="shared" si="4"/>
        <v>2019</v>
      </c>
    </row>
    <row r="310" spans="1:30" hidden="1">
      <c r="A310" s="2" t="s">
        <v>1459</v>
      </c>
      <c r="B310" s="3">
        <v>43593</v>
      </c>
      <c r="C310" s="1" t="s">
        <v>1607</v>
      </c>
      <c r="D310" s="1" t="s">
        <v>1608</v>
      </c>
      <c r="E310" s="1" t="s">
        <v>231</v>
      </c>
      <c r="F310" s="1" t="s">
        <v>34</v>
      </c>
      <c r="G310" s="2" t="s">
        <v>1609</v>
      </c>
      <c r="H310" s="1" t="s">
        <v>68</v>
      </c>
      <c r="I310" s="6">
        <v>150000000</v>
      </c>
      <c r="J310" s="4">
        <v>35</v>
      </c>
      <c r="L310" s="4">
        <v>112000</v>
      </c>
      <c r="M310" s="1" t="s">
        <v>737</v>
      </c>
      <c r="N310" s="1" t="s">
        <v>300</v>
      </c>
      <c r="O310" s="7" t="s">
        <v>1610</v>
      </c>
      <c r="P310" s="1" t="s">
        <v>647</v>
      </c>
      <c r="Q310" s="1" t="s">
        <v>1611</v>
      </c>
      <c r="R310" s="2">
        <v>56649</v>
      </c>
      <c r="S310" s="2">
        <v>48.591676999999997</v>
      </c>
      <c r="T310" s="2">
        <v>-93.406261999999998</v>
      </c>
      <c r="U310" s="1"/>
      <c r="V310" s="1"/>
      <c r="W310" s="5"/>
      <c r="X310" s="1"/>
      <c r="Y310" s="1"/>
      <c r="Z310" s="1"/>
      <c r="AA310" s="1"/>
      <c r="AB310" s="1"/>
      <c r="AC310" s="2" t="s">
        <v>97</v>
      </c>
      <c r="AD310" s="2">
        <f t="shared" si="4"/>
        <v>2019</v>
      </c>
    </row>
    <row r="311" spans="1:30" hidden="1">
      <c r="A311" s="2" t="s">
        <v>1459</v>
      </c>
      <c r="B311" s="3">
        <v>43594</v>
      </c>
      <c r="C311" s="1" t="s">
        <v>1612</v>
      </c>
      <c r="D311" s="1" t="s">
        <v>65</v>
      </c>
      <c r="E311" s="1" t="s">
        <v>66</v>
      </c>
      <c r="F311" s="1" t="s">
        <v>34</v>
      </c>
      <c r="G311" s="2" t="s">
        <v>1613</v>
      </c>
      <c r="H311" s="1" t="s">
        <v>101</v>
      </c>
      <c r="I311" s="6"/>
      <c r="J311" s="4">
        <v>100</v>
      </c>
      <c r="L311" s="4"/>
      <c r="M311" s="1" t="s">
        <v>85</v>
      </c>
      <c r="N311" s="1" t="s">
        <v>86</v>
      </c>
      <c r="O311" s="1" t="s">
        <v>1614</v>
      </c>
      <c r="P311" s="1" t="s">
        <v>965</v>
      </c>
      <c r="Q311" s="1"/>
      <c r="R311" s="2">
        <v>55402</v>
      </c>
      <c r="S311" s="2">
        <v>44.975915000000001</v>
      </c>
      <c r="T311" s="2">
        <v>-93.271825000000007</v>
      </c>
      <c r="U311" s="1"/>
      <c r="V311" s="1"/>
      <c r="W311" s="5"/>
      <c r="X311" s="1"/>
      <c r="Y311" s="1" t="s">
        <v>1612</v>
      </c>
      <c r="Z311" s="1" t="s">
        <v>773</v>
      </c>
      <c r="AA311" s="1" t="s">
        <v>774</v>
      </c>
      <c r="AB311" s="1"/>
      <c r="AC311" s="2" t="s">
        <v>51</v>
      </c>
      <c r="AD311" s="2">
        <f t="shared" si="4"/>
        <v>2019</v>
      </c>
    </row>
    <row r="312" spans="1:30" hidden="1">
      <c r="A312" s="2" t="s">
        <v>1459</v>
      </c>
      <c r="B312" s="3">
        <v>43598</v>
      </c>
      <c r="C312" s="1" t="s">
        <v>1615</v>
      </c>
      <c r="D312" s="1" t="s">
        <v>96</v>
      </c>
      <c r="E312" s="1" t="s">
        <v>99</v>
      </c>
      <c r="F312" s="1" t="s">
        <v>34</v>
      </c>
      <c r="G312" s="2" t="s">
        <v>1616</v>
      </c>
      <c r="H312" s="1" t="s">
        <v>68</v>
      </c>
      <c r="I312" s="6"/>
      <c r="J312" s="4">
        <v>40</v>
      </c>
      <c r="L312" s="4"/>
      <c r="M312" s="1"/>
      <c r="N312" s="1" t="s">
        <v>384</v>
      </c>
      <c r="O312" s="1" t="s">
        <v>1617</v>
      </c>
      <c r="P312" s="1" t="s">
        <v>285</v>
      </c>
      <c r="Q312" s="1" t="s">
        <v>1618</v>
      </c>
      <c r="R312" s="2">
        <v>55108</v>
      </c>
      <c r="S312" s="2">
        <v>44.969437999999997</v>
      </c>
      <c r="T312" s="2">
        <v>-93.152994000000007</v>
      </c>
      <c r="U312" s="1"/>
      <c r="V312" s="1"/>
      <c r="W312" s="5"/>
      <c r="X312" s="1"/>
      <c r="Y312" s="1"/>
      <c r="Z312" s="1"/>
      <c r="AA312" s="1"/>
      <c r="AB312" s="1"/>
      <c r="AC312" s="2" t="s">
        <v>51</v>
      </c>
      <c r="AD312" s="2">
        <f t="shared" si="4"/>
        <v>2019</v>
      </c>
    </row>
    <row r="313" spans="1:30" hidden="1">
      <c r="A313" s="2" t="s">
        <v>1459</v>
      </c>
      <c r="B313" s="3">
        <v>43598</v>
      </c>
      <c r="C313" s="1" t="s">
        <v>1619</v>
      </c>
      <c r="D313" s="1" t="s">
        <v>165</v>
      </c>
      <c r="E313" s="1" t="s">
        <v>66</v>
      </c>
      <c r="F313" s="1" t="s">
        <v>34</v>
      </c>
      <c r="G313" s="2" t="s">
        <v>1620</v>
      </c>
      <c r="H313" s="1" t="s">
        <v>68</v>
      </c>
      <c r="I313" s="6"/>
      <c r="J313" s="4"/>
      <c r="L313" s="4">
        <v>298000</v>
      </c>
      <c r="M313" s="1" t="s">
        <v>684</v>
      </c>
      <c r="N313" s="1" t="s">
        <v>48</v>
      </c>
      <c r="O313" s="1" t="s">
        <v>1621</v>
      </c>
      <c r="P313" s="1" t="s">
        <v>965</v>
      </c>
      <c r="Q313" s="1" t="s">
        <v>1622</v>
      </c>
      <c r="R313" s="2">
        <v>55369</v>
      </c>
      <c r="S313" s="2">
        <v>45.075549000000002</v>
      </c>
      <c r="T313" s="2">
        <v>-93.443552999999994</v>
      </c>
      <c r="U313" s="1"/>
      <c r="V313" s="1"/>
      <c r="W313" s="5"/>
      <c r="X313" s="1" t="s">
        <v>116</v>
      </c>
      <c r="Y313" s="46" t="s">
        <v>1623</v>
      </c>
      <c r="AA313" s="1"/>
      <c r="AB313" s="1" t="s">
        <v>757</v>
      </c>
      <c r="AC313" s="2" t="s">
        <v>51</v>
      </c>
      <c r="AD313" s="2">
        <f t="shared" si="4"/>
        <v>2019</v>
      </c>
    </row>
    <row r="314" spans="1:30" hidden="1">
      <c r="A314" s="2" t="s">
        <v>1459</v>
      </c>
      <c r="B314" s="3">
        <v>43599</v>
      </c>
      <c r="C314" s="1" t="s">
        <v>744</v>
      </c>
      <c r="D314" s="1" t="s">
        <v>65</v>
      </c>
      <c r="E314" s="1" t="s">
        <v>66</v>
      </c>
      <c r="F314" s="1" t="s">
        <v>34</v>
      </c>
      <c r="G314" s="2" t="s">
        <v>1624</v>
      </c>
      <c r="H314" s="1" t="s">
        <v>68</v>
      </c>
      <c r="I314" s="6"/>
      <c r="J314" s="4">
        <v>15</v>
      </c>
      <c r="L314" s="4"/>
      <c r="M314" s="1" t="s">
        <v>85</v>
      </c>
      <c r="N314" s="1" t="s">
        <v>86</v>
      </c>
      <c r="O314" s="1" t="s">
        <v>1625</v>
      </c>
      <c r="P314" s="1" t="s">
        <v>965</v>
      </c>
      <c r="Q314" s="1" t="s">
        <v>746</v>
      </c>
      <c r="R314" s="2">
        <v>55401</v>
      </c>
      <c r="S314" s="2">
        <v>44.982649000000002</v>
      </c>
      <c r="T314" s="2">
        <v>-93.271232999999995</v>
      </c>
      <c r="U314" s="1" t="s">
        <v>143</v>
      </c>
      <c r="V314" s="1"/>
      <c r="W314" s="5"/>
      <c r="X314" s="1"/>
      <c r="Y314" s="1"/>
      <c r="Z314" s="1"/>
      <c r="AA314" s="1"/>
      <c r="AB314" s="1"/>
      <c r="AC314" s="2" t="s">
        <v>51</v>
      </c>
      <c r="AD314" s="2">
        <f t="shared" si="4"/>
        <v>2019</v>
      </c>
    </row>
    <row r="315" spans="1:30" hidden="1">
      <c r="A315" s="2" t="s">
        <v>1459</v>
      </c>
      <c r="B315" s="3">
        <v>43600</v>
      </c>
      <c r="C315" s="1" t="s">
        <v>1626</v>
      </c>
      <c r="D315" s="1" t="s">
        <v>1212</v>
      </c>
      <c r="E315" s="1" t="s">
        <v>1213</v>
      </c>
      <c r="F315" s="1" t="s">
        <v>34</v>
      </c>
      <c r="G315" s="2" t="s">
        <v>1627</v>
      </c>
      <c r="H315" s="1" t="s">
        <v>68</v>
      </c>
      <c r="I315" s="6">
        <v>579000</v>
      </c>
      <c r="J315" s="4">
        <v>45</v>
      </c>
      <c r="L315" s="4"/>
      <c r="M315" s="1" t="s">
        <v>226</v>
      </c>
      <c r="N315" s="1" t="s">
        <v>48</v>
      </c>
      <c r="O315" s="1" t="s">
        <v>1628</v>
      </c>
      <c r="P315" s="1" t="s">
        <v>1372</v>
      </c>
      <c r="Q315" s="1" t="s">
        <v>1629</v>
      </c>
      <c r="R315" s="2">
        <v>55430</v>
      </c>
      <c r="S315" s="2">
        <v>45.063989999999997</v>
      </c>
      <c r="T315" s="2">
        <v>-93.302239</v>
      </c>
      <c r="U315" s="1" t="s">
        <v>60</v>
      </c>
      <c r="V315" s="1" t="s">
        <v>1306</v>
      </c>
      <c r="W315" s="5">
        <v>175000</v>
      </c>
      <c r="X315" s="1"/>
      <c r="Y315" s="1"/>
      <c r="Z315" s="1"/>
      <c r="AA315" s="1"/>
      <c r="AB315" s="1"/>
      <c r="AC315" s="2" t="s">
        <v>41</v>
      </c>
      <c r="AD315" s="2">
        <f t="shared" si="4"/>
        <v>2019</v>
      </c>
    </row>
    <row r="316" spans="1:30" hidden="1">
      <c r="A316" s="2" t="s">
        <v>1459</v>
      </c>
      <c r="B316" s="3">
        <v>43600</v>
      </c>
      <c r="C316" s="1" t="s">
        <v>1630</v>
      </c>
      <c r="D316" s="1" t="s">
        <v>1631</v>
      </c>
      <c r="E316" s="1" t="s">
        <v>1419</v>
      </c>
      <c r="F316" s="1" t="s">
        <v>34</v>
      </c>
      <c r="G316" s="2" t="s">
        <v>1632</v>
      </c>
      <c r="H316" s="1" t="s">
        <v>554</v>
      </c>
      <c r="I316" s="6">
        <v>638441</v>
      </c>
      <c r="J316" s="4">
        <v>20</v>
      </c>
      <c r="L316" s="4">
        <v>13000</v>
      </c>
      <c r="M316" s="1" t="s">
        <v>57</v>
      </c>
      <c r="N316" s="1" t="s">
        <v>48</v>
      </c>
      <c r="O316" s="1" t="s">
        <v>1628</v>
      </c>
      <c r="P316" s="1" t="s">
        <v>1372</v>
      </c>
      <c r="Q316" s="1" t="s">
        <v>1633</v>
      </c>
      <c r="R316" s="2">
        <v>56332</v>
      </c>
      <c r="S316" s="2">
        <v>45.984672000000003</v>
      </c>
      <c r="T316" s="2">
        <v>-95.506621999999993</v>
      </c>
      <c r="U316" s="1" t="s">
        <v>60</v>
      </c>
      <c r="V316" s="1" t="s">
        <v>1306</v>
      </c>
      <c r="W316" s="5">
        <v>175000</v>
      </c>
      <c r="X316" s="1"/>
      <c r="Y316" s="1"/>
      <c r="Z316" s="1"/>
      <c r="AA316" s="1"/>
      <c r="AB316" s="1"/>
      <c r="AC316" s="2" t="s">
        <v>41</v>
      </c>
      <c r="AD316" s="2">
        <f t="shared" si="4"/>
        <v>2019</v>
      </c>
    </row>
    <row r="317" spans="1:30" hidden="1">
      <c r="A317" s="2" t="s">
        <v>1459</v>
      </c>
      <c r="B317" s="3">
        <v>43602</v>
      </c>
      <c r="C317" s="1" t="s">
        <v>1634</v>
      </c>
      <c r="D317" s="1" t="s">
        <v>1302</v>
      </c>
      <c r="E317" s="1" t="s">
        <v>66</v>
      </c>
      <c r="F317" s="1" t="s">
        <v>34</v>
      </c>
      <c r="G317" s="2" t="s">
        <v>1635</v>
      </c>
      <c r="H317" s="1" t="s">
        <v>101</v>
      </c>
      <c r="I317" s="9"/>
      <c r="J317" s="33">
        <v>20</v>
      </c>
      <c r="L317" s="4"/>
      <c r="M317" s="1" t="s">
        <v>1636</v>
      </c>
      <c r="N317" s="1" t="s">
        <v>140</v>
      </c>
      <c r="O317" s="1" t="s">
        <v>1637</v>
      </c>
      <c r="P317" s="1" t="s">
        <v>965</v>
      </c>
      <c r="Q317" s="1" t="s">
        <v>1638</v>
      </c>
      <c r="R317" s="2">
        <v>55416</v>
      </c>
      <c r="S317" s="2">
        <v>44.971362999999997</v>
      </c>
      <c r="T317" s="2">
        <v>-93.350110000000001</v>
      </c>
      <c r="U317" s="1"/>
      <c r="V317" s="1"/>
      <c r="W317" s="29"/>
      <c r="X317" s="1"/>
      <c r="Y317" s="1" t="s">
        <v>1634</v>
      </c>
      <c r="Z317" s="1" t="s">
        <v>1266</v>
      </c>
      <c r="AA317" s="1" t="s">
        <v>209</v>
      </c>
      <c r="AB317" s="1"/>
      <c r="AC317" s="2" t="s">
        <v>51</v>
      </c>
      <c r="AD317" s="2">
        <f t="shared" si="4"/>
        <v>2019</v>
      </c>
    </row>
    <row r="318" spans="1:30" hidden="1">
      <c r="A318" s="2" t="s">
        <v>1459</v>
      </c>
      <c r="B318" s="3">
        <v>43602</v>
      </c>
      <c r="C318" s="1" t="s">
        <v>1639</v>
      </c>
      <c r="D318" s="1" t="s">
        <v>340</v>
      </c>
      <c r="E318" s="1" t="s">
        <v>66</v>
      </c>
      <c r="F318" s="1" t="s">
        <v>34</v>
      </c>
      <c r="G318" s="2" t="s">
        <v>1640</v>
      </c>
      <c r="H318" s="1" t="s">
        <v>68</v>
      </c>
      <c r="I318" s="9"/>
      <c r="J318" s="33">
        <v>25</v>
      </c>
      <c r="L318" s="4">
        <v>6000</v>
      </c>
      <c r="M318" s="1" t="s">
        <v>167</v>
      </c>
      <c r="N318" s="1" t="s">
        <v>48</v>
      </c>
      <c r="O318" s="1" t="s">
        <v>1641</v>
      </c>
      <c r="P318" s="1" t="s">
        <v>965</v>
      </c>
      <c r="Q318" s="1" t="s">
        <v>1642</v>
      </c>
      <c r="R318" s="2">
        <v>55441</v>
      </c>
      <c r="S318" s="2">
        <v>45.012022999999999</v>
      </c>
      <c r="T318" s="2">
        <v>-93.452494999999999</v>
      </c>
      <c r="U318" s="1"/>
      <c r="V318" s="1"/>
      <c r="W318" s="29"/>
      <c r="X318" s="1"/>
      <c r="Y318" s="1"/>
      <c r="Z318" s="1"/>
      <c r="AA318" s="1"/>
      <c r="AB318" s="1"/>
      <c r="AC318" s="2" t="s">
        <v>51</v>
      </c>
      <c r="AD318" s="2">
        <f t="shared" si="4"/>
        <v>2019</v>
      </c>
    </row>
    <row r="319" spans="1:30" hidden="1">
      <c r="A319" s="2" t="s">
        <v>1459</v>
      </c>
      <c r="B319" s="3">
        <v>43605</v>
      </c>
      <c r="C319" s="1" t="s">
        <v>720</v>
      </c>
      <c r="D319" s="1" t="s">
        <v>528</v>
      </c>
      <c r="E319" s="1" t="s">
        <v>66</v>
      </c>
      <c r="F319" s="1" t="s">
        <v>34</v>
      </c>
      <c r="G319" s="2" t="s">
        <v>1643</v>
      </c>
      <c r="H319" s="1" t="s">
        <v>46</v>
      </c>
      <c r="I319" s="6">
        <v>15000000</v>
      </c>
      <c r="J319" s="4">
        <v>6</v>
      </c>
      <c r="L319" s="4">
        <v>17132</v>
      </c>
      <c r="M319" s="1" t="s">
        <v>93</v>
      </c>
      <c r="N319" s="1" t="s">
        <v>48</v>
      </c>
      <c r="O319" s="1" t="s">
        <v>1644</v>
      </c>
      <c r="P319" s="1" t="s">
        <v>965</v>
      </c>
      <c r="Q319" s="1" t="s">
        <v>723</v>
      </c>
      <c r="R319" s="2">
        <v>55431</v>
      </c>
      <c r="S319" s="2">
        <v>44.833675999999997</v>
      </c>
      <c r="T319" s="2">
        <v>-93.296312999999998</v>
      </c>
      <c r="U319" s="1"/>
      <c r="V319" s="1"/>
      <c r="W319" s="5"/>
      <c r="X319" s="1"/>
      <c r="Y319" s="1"/>
      <c r="Z319" s="1"/>
      <c r="AA319" s="1"/>
      <c r="AB319" s="1"/>
      <c r="AC319" s="2" t="s">
        <v>51</v>
      </c>
      <c r="AD319" s="2">
        <f t="shared" si="4"/>
        <v>2019</v>
      </c>
    </row>
    <row r="320" spans="1:30" hidden="1">
      <c r="A320" s="2" t="s">
        <v>1459</v>
      </c>
      <c r="B320" s="3">
        <v>43605</v>
      </c>
      <c r="C320" s="1" t="s">
        <v>538</v>
      </c>
      <c r="D320" s="1" t="s">
        <v>546</v>
      </c>
      <c r="E320" s="1" t="s">
        <v>74</v>
      </c>
      <c r="F320" s="1" t="s">
        <v>34</v>
      </c>
      <c r="G320" s="2" t="s">
        <v>1645</v>
      </c>
      <c r="H320" s="1" t="s">
        <v>36</v>
      </c>
      <c r="I320" s="6">
        <v>13500000</v>
      </c>
      <c r="J320" s="4">
        <v>30</v>
      </c>
      <c r="L320" s="4">
        <v>23000</v>
      </c>
      <c r="M320" s="1"/>
      <c r="N320" s="1" t="s">
        <v>37</v>
      </c>
      <c r="O320" s="1" t="s">
        <v>1646</v>
      </c>
      <c r="P320" s="1" t="s">
        <v>965</v>
      </c>
      <c r="Q320" s="1" t="s">
        <v>1647</v>
      </c>
      <c r="R320" s="2">
        <v>55044</v>
      </c>
      <c r="S320" s="2">
        <v>44.633420999999998</v>
      </c>
      <c r="T320" s="2">
        <v>-93.258120000000005</v>
      </c>
      <c r="U320" s="1"/>
      <c r="V320" s="1"/>
      <c r="W320" s="5"/>
      <c r="X320" s="1"/>
      <c r="Y320" s="1" t="s">
        <v>543</v>
      </c>
      <c r="Z320" s="1" t="s">
        <v>544</v>
      </c>
      <c r="AA320" s="1" t="s">
        <v>34</v>
      </c>
      <c r="AB320" s="1"/>
      <c r="AC320" s="2" t="s">
        <v>51</v>
      </c>
      <c r="AD320" s="2">
        <f t="shared" si="4"/>
        <v>2019</v>
      </c>
    </row>
    <row r="321" spans="1:30" hidden="1">
      <c r="A321" s="42" t="s">
        <v>1459</v>
      </c>
      <c r="B321" s="42">
        <v>43605</v>
      </c>
      <c r="C321" s="2" t="s">
        <v>1648</v>
      </c>
      <c r="D321" s="2" t="s">
        <v>32</v>
      </c>
      <c r="E321" s="2" t="s">
        <v>33</v>
      </c>
      <c r="F321" s="1" t="s">
        <v>34</v>
      </c>
      <c r="G321" s="2" t="s">
        <v>1649</v>
      </c>
      <c r="H321" s="2" t="s">
        <v>1650</v>
      </c>
      <c r="I321" s="11"/>
      <c r="L321" s="5">
        <v>59800</v>
      </c>
      <c r="M321" s="2" t="s">
        <v>93</v>
      </c>
      <c r="N321" s="2" t="s">
        <v>48</v>
      </c>
      <c r="O321" s="7" t="s">
        <v>1651</v>
      </c>
      <c r="P321" s="2" t="s">
        <v>1652</v>
      </c>
      <c r="Q321" s="154" t="s">
        <v>1653</v>
      </c>
      <c r="R321" s="2">
        <v>56201</v>
      </c>
      <c r="S321" s="2">
        <v>45.078798999999997</v>
      </c>
      <c r="T321" s="2">
        <v>-95.043525000000002</v>
      </c>
      <c r="W321" s="5"/>
      <c r="AC321" s="2" t="s">
        <v>41</v>
      </c>
      <c r="AD321" s="2">
        <f t="shared" si="4"/>
        <v>2019</v>
      </c>
    </row>
    <row r="322" spans="1:30" hidden="1">
      <c r="A322" s="2" t="s">
        <v>1459</v>
      </c>
      <c r="B322" s="3">
        <v>43613</v>
      </c>
      <c r="C322" s="1" t="s">
        <v>1654</v>
      </c>
      <c r="D322" s="1" t="s">
        <v>986</v>
      </c>
      <c r="E322" s="1" t="s">
        <v>54</v>
      </c>
      <c r="F322" s="1" t="s">
        <v>34</v>
      </c>
      <c r="G322" s="2" t="s">
        <v>1655</v>
      </c>
      <c r="H322" s="1" t="s">
        <v>46</v>
      </c>
      <c r="I322" s="6"/>
      <c r="J322" s="4"/>
      <c r="L322" s="4">
        <v>54200</v>
      </c>
      <c r="M322" s="1" t="s">
        <v>450</v>
      </c>
      <c r="N322" s="1" t="s">
        <v>48</v>
      </c>
      <c r="O322" s="1" t="s">
        <v>1656</v>
      </c>
      <c r="P322" s="1" t="s">
        <v>647</v>
      </c>
      <c r="Q322" s="1" t="s">
        <v>1657</v>
      </c>
      <c r="R322" s="2">
        <v>55317</v>
      </c>
      <c r="S322" s="2">
        <v>44.860959999999999</v>
      </c>
      <c r="T322" s="2">
        <v>-93.514347000000001</v>
      </c>
      <c r="U322" s="1"/>
      <c r="V322" s="1"/>
      <c r="W322" s="5"/>
      <c r="X322" s="1"/>
      <c r="Y322" s="1"/>
      <c r="Z322" s="1"/>
      <c r="AA322" s="1"/>
      <c r="AB322" s="1"/>
      <c r="AC322" s="2" t="s">
        <v>51</v>
      </c>
      <c r="AD322" s="2">
        <f t="shared" ref="AD322:AD385" si="5">YEAR(B322)</f>
        <v>2019</v>
      </c>
    </row>
    <row r="323" spans="1:30" hidden="1">
      <c r="A323" s="2" t="s">
        <v>1459</v>
      </c>
      <c r="B323" s="3">
        <v>43615</v>
      </c>
      <c r="C323" s="1" t="s">
        <v>1658</v>
      </c>
      <c r="D323" s="1" t="s">
        <v>219</v>
      </c>
      <c r="E323" s="1" t="s">
        <v>44</v>
      </c>
      <c r="F323" s="1" t="s">
        <v>34</v>
      </c>
      <c r="G323" s="2" t="s">
        <v>1659</v>
      </c>
      <c r="H323" s="1" t="s">
        <v>1660</v>
      </c>
      <c r="I323" s="6">
        <v>35000000</v>
      </c>
      <c r="J323" s="4">
        <v>125</v>
      </c>
      <c r="L323" s="4">
        <v>350000</v>
      </c>
      <c r="M323" s="1" t="s">
        <v>125</v>
      </c>
      <c r="N323" s="1" t="s">
        <v>48</v>
      </c>
      <c r="O323" s="1" t="s">
        <v>1661</v>
      </c>
      <c r="P323" s="1" t="s">
        <v>965</v>
      </c>
      <c r="Q323" s="1"/>
      <c r="R323" s="2">
        <v>55016</v>
      </c>
      <c r="S323" s="2">
        <v>44.818216</v>
      </c>
      <c r="T323" s="2">
        <v>-92.928610000000006</v>
      </c>
      <c r="U323" s="1" t="s">
        <v>60</v>
      </c>
      <c r="V323" s="1" t="s">
        <v>1662</v>
      </c>
      <c r="W323" s="5">
        <v>1250000</v>
      </c>
      <c r="X323" s="1"/>
      <c r="Y323" s="1" t="s">
        <v>492</v>
      </c>
      <c r="Z323" s="1" t="s">
        <v>493</v>
      </c>
      <c r="AA323" s="1" t="s">
        <v>34</v>
      </c>
      <c r="AB323" s="1"/>
      <c r="AC323" s="2" t="s">
        <v>51</v>
      </c>
      <c r="AD323" s="2">
        <f t="shared" si="5"/>
        <v>2019</v>
      </c>
    </row>
    <row r="324" spans="1:30" hidden="1">
      <c r="A324" s="2" t="s">
        <v>1459</v>
      </c>
      <c r="B324" s="3">
        <v>43616</v>
      </c>
      <c r="C324" s="1" t="s">
        <v>1663</v>
      </c>
      <c r="D324" s="1" t="s">
        <v>676</v>
      </c>
      <c r="E324" s="2" t="s">
        <v>677</v>
      </c>
      <c r="F324" s="1" t="s">
        <v>34</v>
      </c>
      <c r="G324" s="2" t="s">
        <v>1664</v>
      </c>
      <c r="H324" s="1" t="s">
        <v>56</v>
      </c>
      <c r="I324" s="6"/>
      <c r="J324" s="4"/>
      <c r="L324" s="4">
        <v>62000</v>
      </c>
      <c r="M324" s="1" t="s">
        <v>167</v>
      </c>
      <c r="N324" s="1" t="s">
        <v>48</v>
      </c>
      <c r="O324" s="1" t="s">
        <v>1665</v>
      </c>
      <c r="P324" s="1" t="s">
        <v>647</v>
      </c>
      <c r="Q324" s="1" t="s">
        <v>1666</v>
      </c>
      <c r="R324" s="2">
        <v>55421</v>
      </c>
      <c r="S324" s="2">
        <v>45.057780999999999</v>
      </c>
      <c r="T324" s="2">
        <v>-93.276634000000001</v>
      </c>
      <c r="U324" s="1"/>
      <c r="V324" s="1"/>
      <c r="W324" s="29"/>
      <c r="X324" s="1" t="s">
        <v>116</v>
      </c>
      <c r="Y324" s="1" t="s">
        <v>1663</v>
      </c>
      <c r="Z324" s="1" t="s">
        <v>1667</v>
      </c>
      <c r="AA324" s="1" t="s">
        <v>1668</v>
      </c>
      <c r="AB324" s="1" t="s">
        <v>347</v>
      </c>
      <c r="AC324" s="2" t="s">
        <v>51</v>
      </c>
      <c r="AD324" s="2">
        <f t="shared" si="5"/>
        <v>2019</v>
      </c>
    </row>
    <row r="325" spans="1:30" hidden="1">
      <c r="A325" s="2" t="s">
        <v>1459</v>
      </c>
      <c r="B325" s="3">
        <v>43620</v>
      </c>
      <c r="C325" s="1" t="s">
        <v>1669</v>
      </c>
      <c r="D325" s="1" t="s">
        <v>1670</v>
      </c>
      <c r="E325" s="1" t="s">
        <v>1671</v>
      </c>
      <c r="F325" s="1" t="s">
        <v>34</v>
      </c>
      <c r="G325" s="2" t="s">
        <v>1672</v>
      </c>
      <c r="H325" s="1" t="s">
        <v>48</v>
      </c>
      <c r="I325" s="6">
        <v>650000</v>
      </c>
      <c r="J325" s="4">
        <v>5</v>
      </c>
      <c r="L325" s="4">
        <v>8400</v>
      </c>
      <c r="M325" s="1"/>
      <c r="N325" s="1" t="s">
        <v>48</v>
      </c>
      <c r="O325" s="1" t="s">
        <v>1673</v>
      </c>
      <c r="P325" s="1" t="s">
        <v>188</v>
      </c>
      <c r="Q325" s="1" t="s">
        <v>1674</v>
      </c>
      <c r="R325" s="2">
        <v>56721</v>
      </c>
      <c r="S325" s="2">
        <v>47.936717999999999</v>
      </c>
      <c r="T325" s="2">
        <v>-97.016401999999999</v>
      </c>
      <c r="U325" s="1" t="s">
        <v>60</v>
      </c>
      <c r="V325" s="1" t="s">
        <v>1675</v>
      </c>
      <c r="W325" s="5">
        <v>300000</v>
      </c>
      <c r="X325" s="1"/>
      <c r="Y325" s="1" t="s">
        <v>1676</v>
      </c>
      <c r="Z325" s="1" t="s">
        <v>1677</v>
      </c>
      <c r="AA325" s="1" t="s">
        <v>503</v>
      </c>
      <c r="AB325" s="1"/>
      <c r="AC325" s="1" t="s">
        <v>97</v>
      </c>
      <c r="AD325" s="2">
        <f t="shared" si="5"/>
        <v>2019</v>
      </c>
    </row>
    <row r="326" spans="1:30" hidden="1">
      <c r="A326" s="2" t="s">
        <v>1459</v>
      </c>
      <c r="B326" s="3">
        <v>43621</v>
      </c>
      <c r="C326" s="1" t="s">
        <v>780</v>
      </c>
      <c r="D326" s="1" t="s">
        <v>65</v>
      </c>
      <c r="E326" s="1" t="s">
        <v>66</v>
      </c>
      <c r="F326" s="1" t="s">
        <v>34</v>
      </c>
      <c r="G326" s="2" t="s">
        <v>1678</v>
      </c>
      <c r="H326" s="1" t="s">
        <v>68</v>
      </c>
      <c r="I326" s="6"/>
      <c r="J326" s="4"/>
      <c r="L326" s="4"/>
      <c r="M326" s="1" t="s">
        <v>85</v>
      </c>
      <c r="N326" s="1" t="s">
        <v>86</v>
      </c>
      <c r="O326" s="1" t="s">
        <v>1679</v>
      </c>
      <c r="P326" s="2" t="s">
        <v>285</v>
      </c>
      <c r="Q326" s="1" t="s">
        <v>783</v>
      </c>
      <c r="R326" s="2">
        <v>55401</v>
      </c>
      <c r="S326" s="2">
        <v>44.983595999999999</v>
      </c>
      <c r="T326" s="2">
        <v>-93.277499000000006</v>
      </c>
      <c r="U326" s="1" t="s">
        <v>143</v>
      </c>
      <c r="V326" s="1"/>
      <c r="W326" s="1"/>
      <c r="X326" s="1"/>
      <c r="Y326" s="1"/>
      <c r="Z326" s="1"/>
      <c r="AA326" s="1"/>
      <c r="AB326" s="1"/>
      <c r="AC326" s="2" t="s">
        <v>51</v>
      </c>
      <c r="AD326" s="2">
        <f t="shared" si="5"/>
        <v>2019</v>
      </c>
    </row>
    <row r="327" spans="1:30" hidden="1">
      <c r="A327" s="2" t="s">
        <v>1459</v>
      </c>
      <c r="B327" s="3">
        <v>43622</v>
      </c>
      <c r="C327" s="1" t="s">
        <v>1680</v>
      </c>
      <c r="D327" s="1" t="s">
        <v>591</v>
      </c>
      <c r="E327" s="1" t="s">
        <v>66</v>
      </c>
      <c r="F327" s="1" t="s">
        <v>34</v>
      </c>
      <c r="G327" s="2" t="s">
        <v>1681</v>
      </c>
      <c r="H327" s="1" t="s">
        <v>68</v>
      </c>
      <c r="I327" s="6">
        <v>44000000</v>
      </c>
      <c r="J327" s="4"/>
      <c r="L327" s="4"/>
      <c r="M327" s="1"/>
      <c r="N327" s="1" t="s">
        <v>37</v>
      </c>
      <c r="O327" s="7" t="s">
        <v>1682</v>
      </c>
      <c r="Q327" s="1" t="s">
        <v>1683</v>
      </c>
      <c r="R327" s="2">
        <v>55343</v>
      </c>
      <c r="S327" s="44">
        <v>44.896845999999996</v>
      </c>
      <c r="T327" s="45">
        <v>-93.402431000000007</v>
      </c>
      <c r="U327" s="1"/>
      <c r="V327" s="1"/>
      <c r="W327" s="1"/>
      <c r="X327" s="1"/>
      <c r="Y327" s="1"/>
      <c r="Z327" s="1"/>
      <c r="AA327" s="1"/>
      <c r="AB327" s="1"/>
      <c r="AC327" s="2" t="s">
        <v>51</v>
      </c>
      <c r="AD327" s="2">
        <f t="shared" si="5"/>
        <v>2019</v>
      </c>
    </row>
    <row r="328" spans="1:30" hidden="1">
      <c r="A328" s="2" t="s">
        <v>1459</v>
      </c>
      <c r="B328" s="3">
        <v>43622</v>
      </c>
      <c r="C328" s="1" t="s">
        <v>1684</v>
      </c>
      <c r="D328" s="1" t="s">
        <v>65</v>
      </c>
      <c r="E328" s="1" t="s">
        <v>66</v>
      </c>
      <c r="F328" s="1" t="s">
        <v>34</v>
      </c>
      <c r="G328" s="2" t="s">
        <v>1685</v>
      </c>
      <c r="H328" s="1" t="s">
        <v>101</v>
      </c>
      <c r="I328" s="9"/>
      <c r="J328" s="4"/>
      <c r="L328" s="4"/>
      <c r="M328" s="1" t="s">
        <v>318</v>
      </c>
      <c r="N328" s="1" t="s">
        <v>86</v>
      </c>
      <c r="O328" s="1" t="s">
        <v>1686</v>
      </c>
      <c r="P328" s="1" t="s">
        <v>965</v>
      </c>
      <c r="Q328" s="1" t="s">
        <v>1687</v>
      </c>
      <c r="R328" s="2">
        <v>55433</v>
      </c>
      <c r="S328" s="2">
        <v>45.189349999999997</v>
      </c>
      <c r="T328" s="2">
        <v>-93.365716000000006</v>
      </c>
      <c r="U328" s="1"/>
      <c r="V328" s="1"/>
      <c r="W328" s="5"/>
      <c r="X328" s="1"/>
      <c r="Y328" s="1" t="s">
        <v>1684</v>
      </c>
      <c r="Z328" s="1" t="s">
        <v>1688</v>
      </c>
      <c r="AA328" s="1" t="s">
        <v>1441</v>
      </c>
      <c r="AB328" s="1"/>
      <c r="AC328" s="2" t="s">
        <v>51</v>
      </c>
      <c r="AD328" s="2">
        <f t="shared" si="5"/>
        <v>2019</v>
      </c>
    </row>
    <row r="329" spans="1:30" hidden="1">
      <c r="A329" s="2" t="s">
        <v>1459</v>
      </c>
      <c r="B329" s="3">
        <v>43627</v>
      </c>
      <c r="C329" s="1" t="s">
        <v>577</v>
      </c>
      <c r="D329" s="1" t="s">
        <v>578</v>
      </c>
      <c r="E329" s="1" t="s">
        <v>112</v>
      </c>
      <c r="F329" s="1" t="s">
        <v>34</v>
      </c>
      <c r="G329" s="2" t="s">
        <v>1689</v>
      </c>
      <c r="H329" s="1" t="s">
        <v>46</v>
      </c>
      <c r="I329" s="6">
        <v>5900000</v>
      </c>
      <c r="J329" s="4">
        <v>30</v>
      </c>
      <c r="L329" s="4">
        <v>75000</v>
      </c>
      <c r="M329" s="1" t="s">
        <v>57</v>
      </c>
      <c r="N329" s="1" t="s">
        <v>48</v>
      </c>
      <c r="O329" s="1" t="s">
        <v>1690</v>
      </c>
      <c r="P329" s="1" t="s">
        <v>1691</v>
      </c>
      <c r="Q329" s="1" t="s">
        <v>580</v>
      </c>
      <c r="R329" s="2">
        <v>55976</v>
      </c>
      <c r="S329" s="2">
        <v>43.866067999999999</v>
      </c>
      <c r="T329" s="2">
        <v>-92.490588000000002</v>
      </c>
      <c r="U329" s="1" t="s">
        <v>60</v>
      </c>
      <c r="V329" s="1" t="s">
        <v>1692</v>
      </c>
      <c r="W329" s="5">
        <v>150000</v>
      </c>
      <c r="X329" s="1"/>
      <c r="Y329" s="1"/>
      <c r="Z329" s="1"/>
      <c r="AA329" s="1"/>
      <c r="AB329" s="1"/>
      <c r="AC329" s="2" t="s">
        <v>120</v>
      </c>
      <c r="AD329" s="2">
        <f t="shared" si="5"/>
        <v>2019</v>
      </c>
    </row>
    <row r="330" spans="1:30" hidden="1">
      <c r="A330" s="2" t="s">
        <v>1459</v>
      </c>
      <c r="B330" s="3">
        <v>43633</v>
      </c>
      <c r="C330" s="1" t="s">
        <v>1693</v>
      </c>
      <c r="D330" s="1" t="s">
        <v>800</v>
      </c>
      <c r="E330" s="1" t="s">
        <v>44</v>
      </c>
      <c r="F330" s="1" t="s">
        <v>34</v>
      </c>
      <c r="G330" s="2" t="s">
        <v>1694</v>
      </c>
      <c r="H330" s="1" t="s">
        <v>36</v>
      </c>
      <c r="I330" s="9"/>
      <c r="J330" s="33"/>
      <c r="L330" s="4">
        <v>14000</v>
      </c>
      <c r="M330" s="1"/>
      <c r="N330" s="1" t="s">
        <v>37</v>
      </c>
      <c r="O330" s="1" t="s">
        <v>1695</v>
      </c>
      <c r="P330" s="1" t="s">
        <v>965</v>
      </c>
      <c r="Q330" s="1"/>
      <c r="R330" s="2">
        <v>55125</v>
      </c>
      <c r="S330" s="2">
        <v>44.923855000000003</v>
      </c>
      <c r="T330" s="2">
        <v>-92.959379999999996</v>
      </c>
      <c r="U330" s="1"/>
      <c r="V330" s="1"/>
      <c r="W330" s="29"/>
      <c r="X330" s="1"/>
      <c r="Y330" s="1" t="s">
        <v>1693</v>
      </c>
      <c r="Z330" s="1" t="s">
        <v>203</v>
      </c>
      <c r="AA330" s="1" t="s">
        <v>34</v>
      </c>
      <c r="AB330" s="1"/>
      <c r="AC330" s="2" t="s">
        <v>51</v>
      </c>
      <c r="AD330" s="2">
        <f t="shared" si="5"/>
        <v>2019</v>
      </c>
    </row>
    <row r="331" spans="1:30" hidden="1">
      <c r="A331" s="2" t="s">
        <v>1459</v>
      </c>
      <c r="B331" s="3">
        <v>43633</v>
      </c>
      <c r="C331" s="1" t="s">
        <v>1696</v>
      </c>
      <c r="D331" s="1" t="s">
        <v>800</v>
      </c>
      <c r="E331" s="1" t="s">
        <v>44</v>
      </c>
      <c r="F331" s="1" t="s">
        <v>34</v>
      </c>
      <c r="G331" s="2" t="s">
        <v>1697</v>
      </c>
      <c r="H331" s="1" t="s">
        <v>36</v>
      </c>
      <c r="I331" s="6"/>
      <c r="J331" s="4"/>
      <c r="L331" s="4">
        <v>20000</v>
      </c>
      <c r="M331" s="1"/>
      <c r="N331" s="1" t="s">
        <v>37</v>
      </c>
      <c r="O331" s="1" t="s">
        <v>1695</v>
      </c>
      <c r="P331" s="1" t="s">
        <v>965</v>
      </c>
      <c r="Q331" s="1"/>
      <c r="R331" s="2">
        <v>55125</v>
      </c>
      <c r="S331" s="2">
        <v>44.923855000000003</v>
      </c>
      <c r="T331" s="2">
        <v>-92.959379999999996</v>
      </c>
      <c r="U331" s="1"/>
      <c r="V331" s="1"/>
      <c r="W331" s="5"/>
      <c r="X331" s="1"/>
      <c r="Y331" s="1" t="s">
        <v>1698</v>
      </c>
      <c r="Z331" s="1" t="s">
        <v>65</v>
      </c>
      <c r="AA331" s="1" t="s">
        <v>34</v>
      </c>
      <c r="AB331" s="1"/>
      <c r="AC331" s="2" t="s">
        <v>51</v>
      </c>
      <c r="AD331" s="2">
        <f t="shared" si="5"/>
        <v>2019</v>
      </c>
    </row>
    <row r="332" spans="1:30" hidden="1">
      <c r="A332" s="2" t="s">
        <v>1459</v>
      </c>
      <c r="B332" s="3">
        <v>43635</v>
      </c>
      <c r="C332" s="1" t="s">
        <v>1699</v>
      </c>
      <c r="D332" s="1" t="s">
        <v>448</v>
      </c>
      <c r="E332" s="1" t="s">
        <v>66</v>
      </c>
      <c r="F332" s="1" t="s">
        <v>34</v>
      </c>
      <c r="G332" s="2" t="s">
        <v>1700</v>
      </c>
      <c r="H332" s="1" t="s">
        <v>101</v>
      </c>
      <c r="I332" s="6"/>
      <c r="J332" s="4"/>
      <c r="L332" s="4">
        <v>16550</v>
      </c>
      <c r="M332" s="2" t="s">
        <v>85</v>
      </c>
      <c r="N332" s="2" t="s">
        <v>86</v>
      </c>
      <c r="O332" s="1" t="s">
        <v>1701</v>
      </c>
      <c r="P332" s="1" t="s">
        <v>1327</v>
      </c>
      <c r="Q332" s="1" t="s">
        <v>1702</v>
      </c>
      <c r="R332" s="2">
        <v>55347</v>
      </c>
      <c r="S332" s="2">
        <v>44.841734000000002</v>
      </c>
      <c r="T332" s="2">
        <v>-93.441980999999998</v>
      </c>
      <c r="U332" s="1"/>
      <c r="V332" s="1"/>
      <c r="W332" s="5"/>
      <c r="X332" s="1"/>
      <c r="Y332" s="1" t="s">
        <v>1699</v>
      </c>
      <c r="Z332" s="1" t="s">
        <v>1703</v>
      </c>
      <c r="AA332" s="1" t="s">
        <v>961</v>
      </c>
      <c r="AB332" s="1"/>
      <c r="AC332" s="2" t="s">
        <v>51</v>
      </c>
      <c r="AD332" s="2">
        <f t="shared" si="5"/>
        <v>2019</v>
      </c>
    </row>
    <row r="333" spans="1:30" hidden="1">
      <c r="A333" s="2" t="s">
        <v>1459</v>
      </c>
      <c r="B333" s="3">
        <v>43635</v>
      </c>
      <c r="C333" s="1" t="s">
        <v>1704</v>
      </c>
      <c r="D333" s="1" t="s">
        <v>65</v>
      </c>
      <c r="E333" s="1" t="s">
        <v>66</v>
      </c>
      <c r="F333" s="1" t="s">
        <v>34</v>
      </c>
      <c r="G333" s="2" t="s">
        <v>1705</v>
      </c>
      <c r="H333" s="1" t="s">
        <v>101</v>
      </c>
      <c r="I333" s="6"/>
      <c r="J333" s="4">
        <v>100</v>
      </c>
      <c r="L333" s="4"/>
      <c r="M333" s="2" t="s">
        <v>159</v>
      </c>
      <c r="N333" s="1" t="s">
        <v>86</v>
      </c>
      <c r="O333" s="1" t="s">
        <v>1706</v>
      </c>
      <c r="P333" s="1" t="s">
        <v>965</v>
      </c>
      <c r="Q333" s="1" t="s">
        <v>1707</v>
      </c>
      <c r="R333" s="2">
        <v>55401</v>
      </c>
      <c r="S333" s="2">
        <v>44.980474999999998</v>
      </c>
      <c r="T333" s="2">
        <v>-93.266840999999999</v>
      </c>
      <c r="U333" s="1"/>
      <c r="V333" s="1"/>
      <c r="W333" s="5"/>
      <c r="X333" s="1" t="s">
        <v>116</v>
      </c>
      <c r="Y333" s="1" t="s">
        <v>1708</v>
      </c>
      <c r="Z333" s="1" t="s">
        <v>1709</v>
      </c>
      <c r="AA333" s="1" t="s">
        <v>1710</v>
      </c>
      <c r="AB333" s="1" t="s">
        <v>1711</v>
      </c>
      <c r="AC333" s="2" t="s">
        <v>51</v>
      </c>
      <c r="AD333" s="2">
        <f t="shared" si="5"/>
        <v>2019</v>
      </c>
    </row>
    <row r="334" spans="1:30" hidden="1">
      <c r="A334" s="2" t="s">
        <v>1459</v>
      </c>
      <c r="B334" s="3">
        <v>43641</v>
      </c>
      <c r="C334" s="1" t="s">
        <v>1712</v>
      </c>
      <c r="D334" s="1" t="s">
        <v>1713</v>
      </c>
      <c r="E334" s="2" t="s">
        <v>1172</v>
      </c>
      <c r="F334" s="1" t="s">
        <v>34</v>
      </c>
      <c r="G334" s="2" t="s">
        <v>1714</v>
      </c>
      <c r="H334" s="1" t="s">
        <v>147</v>
      </c>
      <c r="I334" s="6">
        <v>10000000</v>
      </c>
      <c r="J334" s="4">
        <v>40</v>
      </c>
      <c r="L334" s="4">
        <v>69875</v>
      </c>
      <c r="M334" s="1" t="s">
        <v>226</v>
      </c>
      <c r="N334" s="1" t="s">
        <v>48</v>
      </c>
      <c r="O334" s="1" t="s">
        <v>1715</v>
      </c>
      <c r="P334" s="1" t="s">
        <v>1470</v>
      </c>
      <c r="Q334" s="1" t="s">
        <v>1716</v>
      </c>
      <c r="R334" s="2">
        <v>56377</v>
      </c>
      <c r="S334" s="2">
        <v>45.615122</v>
      </c>
      <c r="T334" s="2">
        <v>-94.185562000000004</v>
      </c>
      <c r="U334" s="1" t="s">
        <v>60</v>
      </c>
      <c r="V334" s="1" t="s">
        <v>1717</v>
      </c>
      <c r="W334" s="29">
        <f>670000</f>
        <v>670000</v>
      </c>
      <c r="X334" s="1" t="s">
        <v>116</v>
      </c>
      <c r="Y334" s="1" t="s">
        <v>1718</v>
      </c>
      <c r="Z334" s="1" t="s">
        <v>1309</v>
      </c>
      <c r="AA334" s="1"/>
      <c r="AB334" s="1" t="s">
        <v>757</v>
      </c>
      <c r="AC334" s="2" t="s">
        <v>41</v>
      </c>
      <c r="AD334" s="2">
        <f t="shared" si="5"/>
        <v>2019</v>
      </c>
    </row>
    <row r="335" spans="1:30" hidden="1">
      <c r="A335" s="2" t="s">
        <v>1719</v>
      </c>
      <c r="B335" s="3">
        <v>43648</v>
      </c>
      <c r="C335" s="1" t="s">
        <v>1720</v>
      </c>
      <c r="D335" s="1" t="s">
        <v>448</v>
      </c>
      <c r="E335" s="1" t="s">
        <v>66</v>
      </c>
      <c r="F335" s="1" t="s">
        <v>34</v>
      </c>
      <c r="G335" s="2" t="s">
        <v>1721</v>
      </c>
      <c r="H335" s="1" t="s">
        <v>68</v>
      </c>
      <c r="I335" s="6"/>
      <c r="J335" s="4">
        <v>7</v>
      </c>
      <c r="L335" s="4"/>
      <c r="M335" s="1" t="s">
        <v>167</v>
      </c>
      <c r="N335" s="1" t="s">
        <v>48</v>
      </c>
      <c r="O335" s="1" t="s">
        <v>1722</v>
      </c>
      <c r="P335" s="1" t="s">
        <v>965</v>
      </c>
      <c r="Q335" s="1"/>
      <c r="R335" s="2">
        <v>55344</v>
      </c>
      <c r="S335" s="2">
        <v>44.850563000000001</v>
      </c>
      <c r="T335" s="2">
        <v>-93.440428999999995</v>
      </c>
      <c r="U335" s="1"/>
      <c r="V335" s="1"/>
      <c r="W335" s="5"/>
      <c r="X335" s="1"/>
      <c r="Y335" s="1" t="s">
        <v>672</v>
      </c>
      <c r="Z335" s="1" t="s">
        <v>448</v>
      </c>
      <c r="AA335" s="1" t="s">
        <v>34</v>
      </c>
      <c r="AB335" s="1"/>
      <c r="AC335" s="2" t="s">
        <v>51</v>
      </c>
      <c r="AD335" s="2">
        <f t="shared" si="5"/>
        <v>2019</v>
      </c>
    </row>
    <row r="336" spans="1:30" hidden="1">
      <c r="A336" s="2" t="s">
        <v>1719</v>
      </c>
      <c r="B336" s="3">
        <v>43652</v>
      </c>
      <c r="C336" s="1" t="s">
        <v>1723</v>
      </c>
      <c r="D336" s="1" t="s">
        <v>65</v>
      </c>
      <c r="E336" s="1" t="s">
        <v>66</v>
      </c>
      <c r="F336" s="1" t="s">
        <v>34</v>
      </c>
      <c r="G336" s="2" t="s">
        <v>1724</v>
      </c>
      <c r="H336" s="1" t="s">
        <v>68</v>
      </c>
      <c r="I336" s="6"/>
      <c r="J336" s="4"/>
      <c r="L336" s="4">
        <v>2000</v>
      </c>
      <c r="M336" s="1" t="s">
        <v>1725</v>
      </c>
      <c r="N336" s="1" t="s">
        <v>300</v>
      </c>
      <c r="O336" s="1" t="s">
        <v>1726</v>
      </c>
      <c r="P336" s="1" t="s">
        <v>285</v>
      </c>
      <c r="Q336" s="1"/>
      <c r="R336" s="2">
        <v>55401</v>
      </c>
      <c r="S336" s="2">
        <v>44.984577000000002</v>
      </c>
      <c r="T336" s="2">
        <v>-93.269097000000002</v>
      </c>
      <c r="U336" s="1" t="s">
        <v>143</v>
      </c>
      <c r="V336" s="1"/>
      <c r="W336" s="5"/>
      <c r="X336" s="1"/>
      <c r="Y336" s="1"/>
      <c r="Z336" s="1"/>
      <c r="AA336" s="1"/>
      <c r="AB336" s="1"/>
      <c r="AC336" s="2" t="s">
        <v>51</v>
      </c>
      <c r="AD336" s="2">
        <f t="shared" si="5"/>
        <v>2019</v>
      </c>
    </row>
    <row r="337" spans="1:30" hidden="1">
      <c r="A337" s="2" t="s">
        <v>1719</v>
      </c>
      <c r="B337" s="3">
        <v>43654</v>
      </c>
      <c r="C337" s="1" t="s">
        <v>1727</v>
      </c>
      <c r="D337" s="1" t="s">
        <v>1501</v>
      </c>
      <c r="E337" s="1" t="s">
        <v>677</v>
      </c>
      <c r="F337" s="1" t="s">
        <v>34</v>
      </c>
      <c r="G337" s="2" t="s">
        <v>1728</v>
      </c>
      <c r="H337" s="1" t="s">
        <v>48</v>
      </c>
      <c r="I337" s="6">
        <v>58820000</v>
      </c>
      <c r="J337" s="4">
        <v>80</v>
      </c>
      <c r="L337" s="4">
        <v>60000</v>
      </c>
      <c r="M337" s="1" t="s">
        <v>167</v>
      </c>
      <c r="N337" s="1" t="s">
        <v>48</v>
      </c>
      <c r="O337" s="1" t="s">
        <v>1729</v>
      </c>
      <c r="P337" s="1" t="s">
        <v>647</v>
      </c>
      <c r="Q337" s="1" t="s">
        <v>1730</v>
      </c>
      <c r="R337" s="2">
        <v>55433</v>
      </c>
      <c r="S337" s="2">
        <v>45.126458999999997</v>
      </c>
      <c r="T337" s="2">
        <v>-93.275627</v>
      </c>
      <c r="U337" s="1" t="s">
        <v>60</v>
      </c>
      <c r="V337" s="1" t="s">
        <v>1306</v>
      </c>
      <c r="W337" s="5">
        <v>800000</v>
      </c>
      <c r="X337" s="1"/>
      <c r="Y337" s="1" t="s">
        <v>1731</v>
      </c>
      <c r="Z337" s="1" t="s">
        <v>728</v>
      </c>
      <c r="AA337" s="1" t="s">
        <v>34</v>
      </c>
      <c r="AB337" s="1"/>
      <c r="AC337" s="2" t="s">
        <v>51</v>
      </c>
      <c r="AD337" s="2">
        <f t="shared" si="5"/>
        <v>2019</v>
      </c>
    </row>
    <row r="338" spans="1:30" hidden="1">
      <c r="A338" s="2" t="s">
        <v>1719</v>
      </c>
      <c r="B338" s="3">
        <v>43657</v>
      </c>
      <c r="C338" s="1" t="s">
        <v>1732</v>
      </c>
      <c r="D338" s="1" t="s">
        <v>1733</v>
      </c>
      <c r="E338" s="1" t="s">
        <v>1734</v>
      </c>
      <c r="F338" s="1" t="s">
        <v>34</v>
      </c>
      <c r="G338" s="2" t="s">
        <v>1735</v>
      </c>
      <c r="H338" s="1" t="s">
        <v>1736</v>
      </c>
      <c r="I338" s="6"/>
      <c r="J338" s="4">
        <v>32</v>
      </c>
      <c r="L338" s="4">
        <v>44000</v>
      </c>
      <c r="M338" s="1"/>
      <c r="N338" s="1" t="s">
        <v>762</v>
      </c>
      <c r="O338" s="1" t="s">
        <v>1737</v>
      </c>
      <c r="P338" s="1" t="s">
        <v>1532</v>
      </c>
      <c r="Q338" s="1" t="s">
        <v>1738</v>
      </c>
      <c r="R338" s="2">
        <v>56277</v>
      </c>
      <c r="S338" s="2">
        <v>44.778229000000003</v>
      </c>
      <c r="T338" s="2">
        <v>-94.992125000000001</v>
      </c>
      <c r="U338" s="1"/>
      <c r="V338" s="1"/>
      <c r="W338" s="5"/>
      <c r="X338" s="1" t="s">
        <v>116</v>
      </c>
      <c r="Y338" s="1" t="s">
        <v>1732</v>
      </c>
      <c r="Z338" s="1" t="s">
        <v>1739</v>
      </c>
      <c r="AA338" s="1" t="s">
        <v>1540</v>
      </c>
      <c r="AB338" s="1"/>
      <c r="AC338" s="2" t="s">
        <v>41</v>
      </c>
      <c r="AD338" s="2">
        <f t="shared" si="5"/>
        <v>2019</v>
      </c>
    </row>
    <row r="339" spans="1:30" hidden="1">
      <c r="A339" s="2" t="s">
        <v>1719</v>
      </c>
      <c r="B339" s="3">
        <v>43657</v>
      </c>
      <c r="C339" s="1" t="s">
        <v>1740</v>
      </c>
      <c r="D339" s="1" t="s">
        <v>1741</v>
      </c>
      <c r="E339" s="1" t="s">
        <v>1253</v>
      </c>
      <c r="F339" s="1" t="s">
        <v>34</v>
      </c>
      <c r="G339" s="2" t="s">
        <v>1742</v>
      </c>
      <c r="H339" s="1" t="s">
        <v>1028</v>
      </c>
      <c r="I339" s="6">
        <v>36000000</v>
      </c>
      <c r="J339" s="4">
        <v>200</v>
      </c>
      <c r="L339" s="4">
        <v>354000</v>
      </c>
      <c r="M339" s="1"/>
      <c r="N339" s="1" t="s">
        <v>253</v>
      </c>
      <c r="O339" s="1" t="s">
        <v>1743</v>
      </c>
      <c r="P339" s="1" t="s">
        <v>647</v>
      </c>
      <c r="Q339" s="1"/>
      <c r="R339" s="2">
        <v>55060</v>
      </c>
      <c r="S339" s="2">
        <v>44.047612999999998</v>
      </c>
      <c r="T339" s="2">
        <v>-93.223724000000004</v>
      </c>
      <c r="U339" s="1" t="s">
        <v>60</v>
      </c>
      <c r="V339" s="1" t="s">
        <v>379</v>
      </c>
      <c r="W339" s="5">
        <v>13000000</v>
      </c>
      <c r="X339" s="1"/>
      <c r="Y339" s="1" t="s">
        <v>1740</v>
      </c>
      <c r="Z339" s="1" t="s">
        <v>1744</v>
      </c>
      <c r="AA339" s="1" t="s">
        <v>328</v>
      </c>
      <c r="AB339" s="1"/>
      <c r="AC339" s="2" t="s">
        <v>120</v>
      </c>
      <c r="AD339" s="2">
        <f t="shared" si="5"/>
        <v>2019</v>
      </c>
    </row>
    <row r="340" spans="1:30" hidden="1">
      <c r="A340" s="2" t="s">
        <v>1719</v>
      </c>
      <c r="B340" s="3">
        <v>43657</v>
      </c>
      <c r="C340" s="1" t="s">
        <v>499</v>
      </c>
      <c r="D340" s="1" t="s">
        <v>65</v>
      </c>
      <c r="E340" s="1" t="s">
        <v>66</v>
      </c>
      <c r="F340" s="1" t="s">
        <v>34</v>
      </c>
      <c r="G340" s="2" t="s">
        <v>1745</v>
      </c>
      <c r="H340" s="1" t="s">
        <v>101</v>
      </c>
      <c r="I340" s="6"/>
      <c r="J340" s="4"/>
      <c r="L340" s="4">
        <v>10600</v>
      </c>
      <c r="M340" s="1" t="s">
        <v>93</v>
      </c>
      <c r="N340" s="1" t="s">
        <v>48</v>
      </c>
      <c r="O340" s="1" t="s">
        <v>1746</v>
      </c>
      <c r="P340" s="1" t="s">
        <v>285</v>
      </c>
      <c r="Q340" s="1"/>
      <c r="R340" s="2">
        <v>55401</v>
      </c>
      <c r="S340" s="2">
        <v>44.984577000000002</v>
      </c>
      <c r="T340" s="2">
        <v>-93.269097000000002</v>
      </c>
      <c r="U340" s="1"/>
      <c r="V340" s="1"/>
      <c r="W340" s="5"/>
      <c r="X340" s="1" t="s">
        <v>116</v>
      </c>
      <c r="Y340" s="91" t="s">
        <v>499</v>
      </c>
      <c r="Z340" s="1" t="s">
        <v>502</v>
      </c>
      <c r="AA340" s="1" t="s">
        <v>503</v>
      </c>
      <c r="AB340" s="1"/>
      <c r="AC340" s="2" t="s">
        <v>51</v>
      </c>
      <c r="AD340" s="2">
        <f t="shared" si="5"/>
        <v>2019</v>
      </c>
    </row>
    <row r="341" spans="1:30" hidden="1">
      <c r="A341" s="2" t="s">
        <v>1719</v>
      </c>
      <c r="B341" s="3">
        <v>43657</v>
      </c>
      <c r="C341" s="1" t="s">
        <v>1747</v>
      </c>
      <c r="D341" s="1" t="s">
        <v>65</v>
      </c>
      <c r="E341" s="1" t="s">
        <v>66</v>
      </c>
      <c r="F341" s="1" t="s">
        <v>34</v>
      </c>
      <c r="G341" s="2" t="s">
        <v>1748</v>
      </c>
      <c r="H341" s="1" t="s">
        <v>101</v>
      </c>
      <c r="I341" s="6"/>
      <c r="J341" s="4">
        <v>30</v>
      </c>
      <c r="L341" s="4"/>
      <c r="M341" s="1" t="s">
        <v>294</v>
      </c>
      <c r="N341" s="1" t="s">
        <v>86</v>
      </c>
      <c r="O341" s="1" t="s">
        <v>1749</v>
      </c>
      <c r="P341" s="1" t="s">
        <v>647</v>
      </c>
      <c r="Q341" s="1"/>
      <c r="R341" s="2">
        <v>55401</v>
      </c>
      <c r="S341" s="2">
        <v>44.984577000000002</v>
      </c>
      <c r="T341" s="2">
        <v>-93.269097000000002</v>
      </c>
      <c r="U341" s="1"/>
      <c r="V341" s="1"/>
      <c r="W341" s="5"/>
      <c r="X341" s="1"/>
      <c r="Y341" s="1" t="s">
        <v>1747</v>
      </c>
      <c r="Z341" s="1" t="s">
        <v>1750</v>
      </c>
      <c r="AA341" s="1" t="s">
        <v>961</v>
      </c>
      <c r="AB341" s="1"/>
      <c r="AC341" s="2" t="s">
        <v>51</v>
      </c>
      <c r="AD341" s="2">
        <f t="shared" si="5"/>
        <v>2019</v>
      </c>
    </row>
    <row r="342" spans="1:30" hidden="1">
      <c r="A342" s="2" t="s">
        <v>1719</v>
      </c>
      <c r="B342" s="3">
        <v>43658</v>
      </c>
      <c r="C342" s="1" t="s">
        <v>1751</v>
      </c>
      <c r="D342" s="1" t="s">
        <v>99</v>
      </c>
      <c r="E342" s="1" t="s">
        <v>677</v>
      </c>
      <c r="F342" s="1" t="s">
        <v>34</v>
      </c>
      <c r="G342" s="2" t="s">
        <v>1752</v>
      </c>
      <c r="H342" s="1" t="s">
        <v>188</v>
      </c>
      <c r="I342" s="6"/>
      <c r="J342" s="4"/>
      <c r="L342" s="4"/>
      <c r="M342" s="1" t="s">
        <v>102</v>
      </c>
      <c r="N342" s="1" t="s">
        <v>103</v>
      </c>
      <c r="O342" s="1" t="s">
        <v>1753</v>
      </c>
      <c r="P342" s="1" t="s">
        <v>1327</v>
      </c>
      <c r="Q342" s="1" t="s">
        <v>1754</v>
      </c>
      <c r="R342" s="2">
        <v>55303</v>
      </c>
      <c r="S342" s="2">
        <v>45.237304000000002</v>
      </c>
      <c r="T342" s="2">
        <v>-93.480619000000004</v>
      </c>
      <c r="U342" s="1"/>
      <c r="V342" s="1"/>
      <c r="W342" s="5"/>
      <c r="X342" s="1"/>
      <c r="Y342" s="1"/>
      <c r="Z342" s="1" t="s">
        <v>1755</v>
      </c>
      <c r="AA342" s="1" t="s">
        <v>63</v>
      </c>
      <c r="AB342" s="1"/>
      <c r="AC342" s="2" t="s">
        <v>51</v>
      </c>
      <c r="AD342" s="2">
        <f t="shared" si="5"/>
        <v>2019</v>
      </c>
    </row>
    <row r="343" spans="1:30" hidden="1">
      <c r="A343" s="2" t="s">
        <v>1719</v>
      </c>
      <c r="B343" s="3">
        <v>43658</v>
      </c>
      <c r="C343" s="1" t="s">
        <v>1756</v>
      </c>
      <c r="D343" s="1" t="s">
        <v>1757</v>
      </c>
      <c r="E343" s="1" t="s">
        <v>1758</v>
      </c>
      <c r="F343" s="1" t="s">
        <v>34</v>
      </c>
      <c r="G343" s="2" t="s">
        <v>1759</v>
      </c>
      <c r="H343" s="1" t="s">
        <v>48</v>
      </c>
      <c r="I343" s="6">
        <v>100000000</v>
      </c>
      <c r="J343" s="4">
        <v>75</v>
      </c>
      <c r="L343" s="4">
        <v>200000</v>
      </c>
      <c r="M343" s="1"/>
      <c r="N343" s="1" t="s">
        <v>762</v>
      </c>
      <c r="O343" s="1" t="s">
        <v>1760</v>
      </c>
      <c r="P343" s="2" t="s">
        <v>658</v>
      </c>
      <c r="Q343" s="1"/>
      <c r="R343" s="2">
        <v>56232</v>
      </c>
      <c r="S343" s="2">
        <v>44.929288999999997</v>
      </c>
      <c r="T343" s="2">
        <v>-96.056499000000002</v>
      </c>
      <c r="U343" s="1" t="s">
        <v>60</v>
      </c>
      <c r="V343" s="1" t="s">
        <v>1662</v>
      </c>
      <c r="W343" s="5">
        <v>2860000</v>
      </c>
      <c r="X343" s="1"/>
      <c r="Y343" s="1" t="s">
        <v>1761</v>
      </c>
      <c r="Z343" s="1" t="s">
        <v>65</v>
      </c>
      <c r="AA343" s="1" t="s">
        <v>34</v>
      </c>
      <c r="AB343" s="1"/>
      <c r="AC343" s="2" t="s">
        <v>41</v>
      </c>
      <c r="AD343" s="2">
        <f t="shared" si="5"/>
        <v>2019</v>
      </c>
    </row>
    <row r="344" spans="1:30" hidden="1">
      <c r="A344" s="2" t="s">
        <v>1719</v>
      </c>
      <c r="B344" s="3">
        <v>43662</v>
      </c>
      <c r="C344" s="1" t="s">
        <v>1762</v>
      </c>
      <c r="D344" s="1" t="s">
        <v>65</v>
      </c>
      <c r="E344" s="1" t="s">
        <v>66</v>
      </c>
      <c r="F344" s="1" t="s">
        <v>34</v>
      </c>
      <c r="G344" s="2" t="s">
        <v>1763</v>
      </c>
      <c r="H344" s="1" t="s">
        <v>101</v>
      </c>
      <c r="I344" s="6"/>
      <c r="J344" s="4"/>
      <c r="L344" s="4"/>
      <c r="M344" s="1" t="s">
        <v>1245</v>
      </c>
      <c r="N344" s="1" t="s">
        <v>86</v>
      </c>
      <c r="O344" s="1" t="s">
        <v>1764</v>
      </c>
      <c r="P344" s="1" t="s">
        <v>1327</v>
      </c>
      <c r="Q344" s="1" t="s">
        <v>1765</v>
      </c>
      <c r="R344" s="2">
        <v>55402</v>
      </c>
      <c r="S344" s="2">
        <v>44.976021000000003</v>
      </c>
      <c r="T344" s="2">
        <v>-93.273078999999996</v>
      </c>
      <c r="U344" s="1"/>
      <c r="V344" s="1"/>
      <c r="W344" s="5"/>
      <c r="X344" s="1" t="s">
        <v>116</v>
      </c>
      <c r="Y344" s="1" t="s">
        <v>1766</v>
      </c>
      <c r="Z344" s="1" t="s">
        <v>171</v>
      </c>
      <c r="AA344" s="1"/>
      <c r="AB344" s="1" t="s">
        <v>172</v>
      </c>
      <c r="AC344" s="2" t="s">
        <v>51</v>
      </c>
      <c r="AD344" s="2">
        <f t="shared" si="5"/>
        <v>2019</v>
      </c>
    </row>
    <row r="345" spans="1:30" hidden="1">
      <c r="A345" s="2" t="s">
        <v>1719</v>
      </c>
      <c r="B345" s="3">
        <v>43665</v>
      </c>
      <c r="C345" s="1" t="s">
        <v>310</v>
      </c>
      <c r="D345" s="1" t="s">
        <v>479</v>
      </c>
      <c r="E345" s="1" t="s">
        <v>468</v>
      </c>
      <c r="F345" s="1" t="s">
        <v>34</v>
      </c>
      <c r="G345" s="2" t="s">
        <v>1767</v>
      </c>
      <c r="H345" s="1" t="s">
        <v>1768</v>
      </c>
      <c r="I345" s="6">
        <v>1700000</v>
      </c>
      <c r="J345" s="4">
        <v>20</v>
      </c>
      <c r="L345" s="4">
        <v>16000</v>
      </c>
      <c r="M345" s="1" t="s">
        <v>47</v>
      </c>
      <c r="N345" s="1" t="s">
        <v>48</v>
      </c>
      <c r="O345" s="1" t="s">
        <v>1769</v>
      </c>
      <c r="P345" s="1" t="s">
        <v>285</v>
      </c>
      <c r="Q345" s="1" t="s">
        <v>1770</v>
      </c>
      <c r="R345" s="2">
        <v>55057</v>
      </c>
      <c r="S345" s="2">
        <v>44.504945999999997</v>
      </c>
      <c r="T345" s="2">
        <v>-93.291285000000002</v>
      </c>
      <c r="U345" s="1"/>
      <c r="V345" s="1"/>
      <c r="W345" s="5"/>
      <c r="X345" s="1"/>
      <c r="Y345" s="1" t="s">
        <v>310</v>
      </c>
      <c r="Z345" s="1" t="s">
        <v>544</v>
      </c>
      <c r="AA345" s="1" t="s">
        <v>34</v>
      </c>
      <c r="AB345" s="1"/>
      <c r="AC345" s="2" t="s">
        <v>120</v>
      </c>
      <c r="AD345" s="2">
        <f t="shared" si="5"/>
        <v>2019</v>
      </c>
    </row>
    <row r="346" spans="1:30" hidden="1">
      <c r="A346" s="2" t="s">
        <v>1719</v>
      </c>
      <c r="B346" s="3">
        <v>43674</v>
      </c>
      <c r="C346" s="1" t="s">
        <v>1771</v>
      </c>
      <c r="D346" s="1" t="s">
        <v>676</v>
      </c>
      <c r="E346" s="1" t="s">
        <v>677</v>
      </c>
      <c r="F346" s="1" t="s">
        <v>34</v>
      </c>
      <c r="G346" s="2" t="s">
        <v>1772</v>
      </c>
      <c r="H346" s="1" t="s">
        <v>389</v>
      </c>
      <c r="I346" s="6"/>
      <c r="J346" s="4">
        <v>60</v>
      </c>
      <c r="L346" s="4"/>
      <c r="M346" s="1"/>
      <c r="N346" s="2" t="s">
        <v>610</v>
      </c>
      <c r="O346" s="1" t="s">
        <v>1773</v>
      </c>
      <c r="P346" s="1" t="s">
        <v>285</v>
      </c>
      <c r="Q346" s="1" t="s">
        <v>1774</v>
      </c>
      <c r="R346" s="2">
        <v>55421</v>
      </c>
      <c r="S346" s="2">
        <v>45.040799</v>
      </c>
      <c r="T346" s="2">
        <v>-93.263003999999995</v>
      </c>
      <c r="U346" s="1"/>
      <c r="V346" s="1"/>
      <c r="W346" s="5"/>
      <c r="X346" s="1" t="s">
        <v>116</v>
      </c>
      <c r="Y346" s="10" t="s">
        <v>1775</v>
      </c>
      <c r="AA346" s="1" t="s">
        <v>1776</v>
      </c>
      <c r="AB346" s="1" t="s">
        <v>423</v>
      </c>
      <c r="AC346" s="2" t="s">
        <v>51</v>
      </c>
      <c r="AD346" s="2">
        <f t="shared" si="5"/>
        <v>2019</v>
      </c>
    </row>
    <row r="347" spans="1:30" hidden="1">
      <c r="A347" s="2" t="s">
        <v>1719</v>
      </c>
      <c r="B347" s="3">
        <v>43675</v>
      </c>
      <c r="C347" s="1" t="s">
        <v>1777</v>
      </c>
      <c r="D347" s="1" t="s">
        <v>1501</v>
      </c>
      <c r="E347" s="1" t="s">
        <v>677</v>
      </c>
      <c r="F347" s="1" t="s">
        <v>34</v>
      </c>
      <c r="G347" s="2" t="s">
        <v>1778</v>
      </c>
      <c r="H347" s="1" t="s">
        <v>48</v>
      </c>
      <c r="I347" s="6"/>
      <c r="J347" s="4">
        <v>20</v>
      </c>
      <c r="L347" s="4">
        <v>100000</v>
      </c>
      <c r="M347" s="1" t="s">
        <v>226</v>
      </c>
      <c r="N347" s="1" t="s">
        <v>48</v>
      </c>
      <c r="O347" s="1" t="s">
        <v>1779</v>
      </c>
      <c r="P347" s="1" t="s">
        <v>188</v>
      </c>
      <c r="Q347" s="1" t="s">
        <v>1780</v>
      </c>
      <c r="R347" s="2">
        <v>55433</v>
      </c>
      <c r="S347" s="2">
        <v>45.129869999999997</v>
      </c>
      <c r="T347" s="2">
        <v>-93.280655999999993</v>
      </c>
      <c r="U347" s="1"/>
      <c r="V347" s="1"/>
      <c r="W347" s="5"/>
      <c r="X347" s="1"/>
      <c r="Y347" s="1" t="s">
        <v>1777</v>
      </c>
      <c r="Z347" s="1" t="s">
        <v>1781</v>
      </c>
      <c r="AA347" s="1" t="s">
        <v>322</v>
      </c>
      <c r="AB347" s="1"/>
      <c r="AC347" s="2" t="s">
        <v>51</v>
      </c>
      <c r="AD347" s="2">
        <f t="shared" si="5"/>
        <v>2019</v>
      </c>
    </row>
    <row r="348" spans="1:30" hidden="1">
      <c r="A348" s="2" t="s">
        <v>1719</v>
      </c>
      <c r="B348" s="3">
        <v>43676</v>
      </c>
      <c r="C348" s="1" t="s">
        <v>1782</v>
      </c>
      <c r="D348" s="1" t="s">
        <v>165</v>
      </c>
      <c r="E348" s="1" t="s">
        <v>66</v>
      </c>
      <c r="F348" s="1" t="s">
        <v>34</v>
      </c>
      <c r="G348" s="2" t="s">
        <v>1783</v>
      </c>
      <c r="H348" s="1" t="s">
        <v>1784</v>
      </c>
      <c r="I348" s="6"/>
      <c r="J348" s="4">
        <v>40</v>
      </c>
      <c r="L348" s="4">
        <v>107000</v>
      </c>
      <c r="M348" s="1" t="s">
        <v>167</v>
      </c>
      <c r="N348" s="1" t="s">
        <v>48</v>
      </c>
      <c r="O348" s="1" t="s">
        <v>1785</v>
      </c>
      <c r="P348" s="1" t="s">
        <v>965</v>
      </c>
      <c r="Q348" s="1" t="s">
        <v>1786</v>
      </c>
      <c r="R348" s="2">
        <v>55311</v>
      </c>
      <c r="S348" s="2">
        <v>45.124262999999999</v>
      </c>
      <c r="T348" s="2">
        <v>-93.499583000000001</v>
      </c>
      <c r="U348" s="1"/>
      <c r="V348" s="1"/>
      <c r="W348" s="5"/>
      <c r="X348" s="1"/>
      <c r="Y348" s="1" t="s">
        <v>1782</v>
      </c>
      <c r="Z348" s="1" t="s">
        <v>1787</v>
      </c>
      <c r="AA348" s="1" t="s">
        <v>1788</v>
      </c>
      <c r="AB348" s="1"/>
      <c r="AC348" s="2" t="s">
        <v>51</v>
      </c>
      <c r="AD348" s="2">
        <f t="shared" si="5"/>
        <v>2019</v>
      </c>
    </row>
    <row r="349" spans="1:30" hidden="1">
      <c r="A349" s="2" t="s">
        <v>1719</v>
      </c>
      <c r="B349" s="3">
        <v>43678</v>
      </c>
      <c r="C349" s="1" t="s">
        <v>1789</v>
      </c>
      <c r="D349" s="1" t="s">
        <v>415</v>
      </c>
      <c r="E349" s="1" t="s">
        <v>395</v>
      </c>
      <c r="F349" s="1" t="s">
        <v>34</v>
      </c>
      <c r="G349" s="2" t="s">
        <v>1790</v>
      </c>
      <c r="H349" s="1" t="s">
        <v>46</v>
      </c>
      <c r="I349" s="6"/>
      <c r="J349" s="4"/>
      <c r="L349" s="4"/>
      <c r="M349" s="1" t="s">
        <v>226</v>
      </c>
      <c r="N349" s="1" t="s">
        <v>48</v>
      </c>
      <c r="O349" s="1" t="s">
        <v>1791</v>
      </c>
      <c r="P349" s="1" t="s">
        <v>188</v>
      </c>
      <c r="Q349" s="1" t="s">
        <v>1792</v>
      </c>
      <c r="R349" s="2">
        <v>56303</v>
      </c>
      <c r="S349" s="2">
        <v>45.558867999999997</v>
      </c>
      <c r="T349" s="2">
        <v>-94.249836999999999</v>
      </c>
      <c r="U349" s="1" t="s">
        <v>60</v>
      </c>
      <c r="V349" s="1" t="s">
        <v>1793</v>
      </c>
      <c r="W349" s="5"/>
      <c r="X349" s="1"/>
      <c r="Y349" s="1"/>
      <c r="Z349" s="1"/>
      <c r="AA349" s="1"/>
      <c r="AB349" s="1"/>
      <c r="AC349" s="2" t="s">
        <v>41</v>
      </c>
      <c r="AD349" s="2">
        <f t="shared" si="5"/>
        <v>2019</v>
      </c>
    </row>
    <row r="350" spans="1:30" hidden="1">
      <c r="A350" s="2" t="s">
        <v>1719</v>
      </c>
      <c r="B350" s="3">
        <v>43679</v>
      </c>
      <c r="C350" s="1" t="s">
        <v>1794</v>
      </c>
      <c r="D350" s="1" t="s">
        <v>528</v>
      </c>
      <c r="E350" s="1" t="s">
        <v>66</v>
      </c>
      <c r="F350" s="1" t="s">
        <v>34</v>
      </c>
      <c r="G350" s="2" t="s">
        <v>1795</v>
      </c>
      <c r="H350" s="1" t="s">
        <v>188</v>
      </c>
      <c r="I350" s="6"/>
      <c r="J350" s="4">
        <v>82</v>
      </c>
      <c r="L350" s="4"/>
      <c r="M350" s="1" t="s">
        <v>102</v>
      </c>
      <c r="N350" s="1" t="s">
        <v>103</v>
      </c>
      <c r="O350" s="1" t="s">
        <v>1796</v>
      </c>
      <c r="P350" s="1" t="s">
        <v>965</v>
      </c>
      <c r="Q350" s="1" t="s">
        <v>1797</v>
      </c>
      <c r="R350" s="2">
        <v>55431</v>
      </c>
      <c r="S350" s="2">
        <v>44.859599000000003</v>
      </c>
      <c r="T350" s="2">
        <v>-93.320182000000003</v>
      </c>
      <c r="U350" s="1"/>
      <c r="V350" s="1"/>
      <c r="W350" s="5"/>
      <c r="X350" s="1"/>
      <c r="Y350" s="1"/>
      <c r="Z350" s="1" t="s">
        <v>1798</v>
      </c>
      <c r="AA350" s="1" t="s">
        <v>1499</v>
      </c>
      <c r="AB350" s="1"/>
      <c r="AC350" s="2" t="s">
        <v>51</v>
      </c>
      <c r="AD350" s="2">
        <f t="shared" si="5"/>
        <v>2019</v>
      </c>
    </row>
    <row r="351" spans="1:30" hidden="1">
      <c r="A351" s="2" t="s">
        <v>1719</v>
      </c>
      <c r="B351" s="3">
        <v>43679</v>
      </c>
      <c r="C351" s="1" t="s">
        <v>694</v>
      </c>
      <c r="D351" s="1" t="s">
        <v>448</v>
      </c>
      <c r="E351" s="1" t="s">
        <v>66</v>
      </c>
      <c r="F351" s="1" t="s">
        <v>34</v>
      </c>
      <c r="G351" s="2" t="s">
        <v>1799</v>
      </c>
      <c r="H351" s="1" t="s">
        <v>68</v>
      </c>
      <c r="I351" s="6"/>
      <c r="J351" s="4">
        <v>18</v>
      </c>
      <c r="L351" s="4"/>
      <c r="M351" s="1" t="s">
        <v>85</v>
      </c>
      <c r="N351" s="1" t="s">
        <v>86</v>
      </c>
      <c r="O351" s="1" t="s">
        <v>1800</v>
      </c>
      <c r="P351" s="1" t="s">
        <v>965</v>
      </c>
      <c r="Q351" s="1" t="s">
        <v>697</v>
      </c>
      <c r="R351" s="2">
        <v>55344</v>
      </c>
      <c r="S351" s="2">
        <v>44.855870000000003</v>
      </c>
      <c r="T351" s="2">
        <v>-93.428830000000005</v>
      </c>
      <c r="U351" s="1"/>
      <c r="V351" s="1"/>
      <c r="W351" s="5"/>
      <c r="X351" s="1"/>
      <c r="Y351" s="1"/>
      <c r="Z351" s="1"/>
      <c r="AA351" s="1"/>
      <c r="AB351" s="1"/>
      <c r="AC351" s="2" t="s">
        <v>51</v>
      </c>
      <c r="AD351" s="2">
        <f t="shared" si="5"/>
        <v>2019</v>
      </c>
    </row>
    <row r="352" spans="1:30" hidden="1">
      <c r="A352" s="2" t="s">
        <v>1719</v>
      </c>
      <c r="B352" s="3">
        <v>43679</v>
      </c>
      <c r="C352" s="1" t="s">
        <v>1801</v>
      </c>
      <c r="D352" s="1" t="s">
        <v>65</v>
      </c>
      <c r="E352" s="1" t="s">
        <v>66</v>
      </c>
      <c r="F352" s="1" t="s">
        <v>34</v>
      </c>
      <c r="G352" s="2" t="s">
        <v>1802</v>
      </c>
      <c r="H352" s="1"/>
      <c r="I352" s="6"/>
      <c r="J352" s="4">
        <v>50</v>
      </c>
      <c r="L352" s="4">
        <v>27000</v>
      </c>
      <c r="M352" s="1" t="s">
        <v>299</v>
      </c>
      <c r="N352" s="1" t="s">
        <v>300</v>
      </c>
      <c r="O352" s="8" t="s">
        <v>1803</v>
      </c>
      <c r="P352" s="1" t="s">
        <v>285</v>
      </c>
      <c r="Q352" s="1" t="s">
        <v>1804</v>
      </c>
      <c r="R352" s="2">
        <v>55413</v>
      </c>
      <c r="S352" s="2">
        <v>44.999822000000002</v>
      </c>
      <c r="T352" s="2">
        <v>-93.219156999999996</v>
      </c>
      <c r="U352" s="1" t="s">
        <v>143</v>
      </c>
      <c r="V352" s="1"/>
      <c r="W352" s="5"/>
      <c r="X352" s="1"/>
      <c r="Y352" s="1"/>
      <c r="Z352" s="1"/>
      <c r="AA352" s="1"/>
      <c r="AB352" s="1"/>
      <c r="AC352" s="2" t="s">
        <v>51</v>
      </c>
      <c r="AD352" s="2">
        <f t="shared" si="5"/>
        <v>2019</v>
      </c>
    </row>
    <row r="353" spans="1:30" hidden="1">
      <c r="A353" s="2" t="s">
        <v>1719</v>
      </c>
      <c r="B353" s="3">
        <v>43679</v>
      </c>
      <c r="C353" s="1" t="s">
        <v>1805</v>
      </c>
      <c r="D353" s="1" t="s">
        <v>591</v>
      </c>
      <c r="E353" s="1" t="s">
        <v>66</v>
      </c>
      <c r="F353" s="1" t="s">
        <v>34</v>
      </c>
      <c r="G353" s="2" t="s">
        <v>1806</v>
      </c>
      <c r="H353" s="1" t="s">
        <v>68</v>
      </c>
      <c r="I353" s="6"/>
      <c r="J353" s="4">
        <v>9</v>
      </c>
      <c r="L353" s="4"/>
      <c r="M353" s="1" t="s">
        <v>103</v>
      </c>
      <c r="N353" s="1" t="s">
        <v>86</v>
      </c>
      <c r="O353" s="1" t="s">
        <v>1807</v>
      </c>
      <c r="P353" s="1" t="s">
        <v>965</v>
      </c>
      <c r="Q353" s="1" t="s">
        <v>1808</v>
      </c>
      <c r="R353" s="2">
        <v>55345</v>
      </c>
      <c r="S353" s="2">
        <v>44.897027000000001</v>
      </c>
      <c r="T353" s="2">
        <v>-93.445846000000003</v>
      </c>
      <c r="U353" s="1"/>
      <c r="V353" s="1"/>
      <c r="W353" s="5"/>
      <c r="X353" s="1"/>
      <c r="Y353" s="1"/>
      <c r="Z353" s="1"/>
      <c r="AA353" s="1"/>
      <c r="AB353" s="1"/>
      <c r="AC353" s="2" t="s">
        <v>51</v>
      </c>
      <c r="AD353" s="2">
        <f t="shared" si="5"/>
        <v>2019</v>
      </c>
    </row>
    <row r="354" spans="1:30" hidden="1">
      <c r="A354" s="2" t="s">
        <v>1719</v>
      </c>
      <c r="B354" s="3">
        <v>43679</v>
      </c>
      <c r="C354" s="1" t="s">
        <v>820</v>
      </c>
      <c r="D354" s="1" t="s">
        <v>96</v>
      </c>
      <c r="E354" s="1" t="s">
        <v>99</v>
      </c>
      <c r="F354" s="1" t="s">
        <v>34</v>
      </c>
      <c r="G354" s="2" t="s">
        <v>1809</v>
      </c>
      <c r="H354" s="1" t="s">
        <v>621</v>
      </c>
      <c r="I354" s="6"/>
      <c r="J354" s="4">
        <v>45</v>
      </c>
      <c r="L354" s="4"/>
      <c r="M354" s="1"/>
      <c r="N354" s="1" t="s">
        <v>37</v>
      </c>
      <c r="O354" s="1" t="s">
        <v>1810</v>
      </c>
      <c r="P354" s="1" t="s">
        <v>965</v>
      </c>
      <c r="Q354" s="1" t="s">
        <v>823</v>
      </c>
      <c r="R354" s="2">
        <v>55101</v>
      </c>
      <c r="S354" s="2">
        <v>44.956352000000003</v>
      </c>
      <c r="T354" s="2">
        <v>-93.095727999999994</v>
      </c>
      <c r="U354" s="1"/>
      <c r="V354" s="1"/>
      <c r="W354" s="5"/>
      <c r="X354" s="1"/>
      <c r="Y354" s="1"/>
      <c r="Z354" s="1"/>
      <c r="AA354" s="1"/>
      <c r="AB354" s="1"/>
      <c r="AC354" s="2" t="s">
        <v>51</v>
      </c>
      <c r="AD354" s="2">
        <f t="shared" si="5"/>
        <v>2019</v>
      </c>
    </row>
    <row r="355" spans="1:30" hidden="1">
      <c r="A355" s="2" t="s">
        <v>1719</v>
      </c>
      <c r="B355" s="3">
        <v>43679</v>
      </c>
      <c r="C355" s="1" t="s">
        <v>832</v>
      </c>
      <c r="D355" s="1" t="s">
        <v>528</v>
      </c>
      <c r="E355" s="1" t="s">
        <v>66</v>
      </c>
      <c r="F355" s="1" t="s">
        <v>34</v>
      </c>
      <c r="G355" s="2" t="s">
        <v>1811</v>
      </c>
      <c r="H355" s="1" t="s">
        <v>68</v>
      </c>
      <c r="I355" s="6"/>
      <c r="J355" s="4">
        <v>29</v>
      </c>
      <c r="L355" s="4"/>
      <c r="M355" s="1" t="s">
        <v>103</v>
      </c>
      <c r="N355" s="1" t="s">
        <v>86</v>
      </c>
      <c r="O355" s="1" t="s">
        <v>1812</v>
      </c>
      <c r="P355" s="1" t="s">
        <v>965</v>
      </c>
      <c r="Q355" s="1" t="s">
        <v>835</v>
      </c>
      <c r="R355" s="2">
        <v>55420</v>
      </c>
      <c r="S355" s="2">
        <v>44.861657999999998</v>
      </c>
      <c r="T355" s="2">
        <v>-93.260357999999997</v>
      </c>
      <c r="U355" s="1"/>
      <c r="V355" s="1"/>
      <c r="W355" s="5"/>
      <c r="X355" s="1"/>
      <c r="Y355" s="1"/>
      <c r="Z355" s="1"/>
      <c r="AA355" s="1"/>
      <c r="AB355" s="1"/>
      <c r="AC355" s="2" t="s">
        <v>51</v>
      </c>
      <c r="AD355" s="2">
        <f t="shared" si="5"/>
        <v>2019</v>
      </c>
    </row>
    <row r="356" spans="1:30" hidden="1">
      <c r="A356" s="2" t="s">
        <v>1719</v>
      </c>
      <c r="B356" s="3">
        <v>43679</v>
      </c>
      <c r="C356" s="1" t="s">
        <v>1813</v>
      </c>
      <c r="D356" s="1" t="s">
        <v>415</v>
      </c>
      <c r="E356" s="1" t="s">
        <v>395</v>
      </c>
      <c r="F356" s="1" t="s">
        <v>34</v>
      </c>
      <c r="G356" s="2" t="s">
        <v>1814</v>
      </c>
      <c r="H356" s="1" t="s">
        <v>68</v>
      </c>
      <c r="I356" s="6"/>
      <c r="J356" s="4">
        <v>96</v>
      </c>
      <c r="L356" s="4"/>
      <c r="M356" s="2" t="s">
        <v>159</v>
      </c>
      <c r="N356" s="1" t="s">
        <v>86</v>
      </c>
      <c r="O356" s="1" t="s">
        <v>1815</v>
      </c>
      <c r="P356" s="1" t="s">
        <v>965</v>
      </c>
      <c r="Q356" s="1" t="s">
        <v>839</v>
      </c>
      <c r="R356" s="2">
        <v>56301</v>
      </c>
      <c r="S356" s="2">
        <v>45.490848</v>
      </c>
      <c r="T356" s="2">
        <v>-94.147718999999995</v>
      </c>
      <c r="U356" s="1"/>
      <c r="V356" s="1"/>
      <c r="W356" s="5"/>
      <c r="X356" s="1"/>
      <c r="Y356" s="1"/>
      <c r="Z356" s="1"/>
      <c r="AA356" s="1"/>
      <c r="AB356" s="1"/>
      <c r="AC356" s="2" t="s">
        <v>41</v>
      </c>
      <c r="AD356" s="2">
        <f t="shared" si="5"/>
        <v>2019</v>
      </c>
    </row>
    <row r="357" spans="1:30" hidden="1">
      <c r="A357" s="2" t="s">
        <v>1719</v>
      </c>
      <c r="B357" s="3">
        <v>43679</v>
      </c>
      <c r="C357" s="1" t="s">
        <v>1816</v>
      </c>
      <c r="D357" s="1" t="s">
        <v>448</v>
      </c>
      <c r="E357" s="1" t="s">
        <v>66</v>
      </c>
      <c r="F357" s="1" t="s">
        <v>34</v>
      </c>
      <c r="G357" s="2" t="s">
        <v>1817</v>
      </c>
      <c r="H357" s="1" t="s">
        <v>68</v>
      </c>
      <c r="I357" s="6"/>
      <c r="J357" s="4">
        <v>4</v>
      </c>
      <c r="L357" s="4"/>
      <c r="M357" s="1"/>
      <c r="N357" s="1" t="s">
        <v>384</v>
      </c>
      <c r="O357" s="1" t="s">
        <v>1818</v>
      </c>
      <c r="P357" s="1" t="s">
        <v>965</v>
      </c>
      <c r="Q357" s="1" t="s">
        <v>1819</v>
      </c>
      <c r="R357" s="2">
        <v>55344</v>
      </c>
      <c r="S357" s="2">
        <v>44.868108999999997</v>
      </c>
      <c r="T357" s="2">
        <v>-93.428552999999994</v>
      </c>
      <c r="U357" s="1"/>
      <c r="V357" s="1"/>
      <c r="W357" s="5"/>
      <c r="X357" s="1"/>
      <c r="Y357" s="1"/>
      <c r="Z357" s="1" t="s">
        <v>1739</v>
      </c>
      <c r="AA357" s="1" t="s">
        <v>1820</v>
      </c>
      <c r="AB357" s="1"/>
      <c r="AC357" s="2" t="s">
        <v>51</v>
      </c>
      <c r="AD357" s="2">
        <f t="shared" si="5"/>
        <v>2019</v>
      </c>
    </row>
    <row r="358" spans="1:30" hidden="1">
      <c r="A358" s="2" t="s">
        <v>1719</v>
      </c>
      <c r="B358" s="3">
        <v>43679</v>
      </c>
      <c r="C358" s="1" t="s">
        <v>1821</v>
      </c>
      <c r="D358" s="1" t="s">
        <v>65</v>
      </c>
      <c r="E358" s="1" t="s">
        <v>66</v>
      </c>
      <c r="F358" s="1" t="s">
        <v>34</v>
      </c>
      <c r="G358" s="2" t="s">
        <v>1822</v>
      </c>
      <c r="H358" s="1" t="s">
        <v>101</v>
      </c>
      <c r="I358" s="6"/>
      <c r="J358" s="4">
        <v>51</v>
      </c>
      <c r="L358" s="4"/>
      <c r="M358" s="1"/>
      <c r="N358" s="1" t="s">
        <v>140</v>
      </c>
      <c r="O358" s="1" t="s">
        <v>1823</v>
      </c>
      <c r="P358" s="1" t="s">
        <v>965</v>
      </c>
      <c r="Q358" s="1" t="s">
        <v>1824</v>
      </c>
      <c r="R358" s="2">
        <v>55433</v>
      </c>
      <c r="S358" s="2">
        <v>45.189349999999997</v>
      </c>
      <c r="T358" s="2">
        <v>-93.365716000000006</v>
      </c>
      <c r="U358" s="1"/>
      <c r="V358" s="1"/>
      <c r="W358" s="5"/>
      <c r="X358" s="1" t="s">
        <v>116</v>
      </c>
      <c r="Y358" s="1" t="s">
        <v>1825</v>
      </c>
      <c r="Z358" s="1" t="s">
        <v>1826</v>
      </c>
      <c r="AA358" s="1" t="s">
        <v>136</v>
      </c>
      <c r="AB358" s="1" t="s">
        <v>423</v>
      </c>
      <c r="AC358" s="2" t="s">
        <v>51</v>
      </c>
      <c r="AD358" s="2">
        <f t="shared" si="5"/>
        <v>2019</v>
      </c>
    </row>
    <row r="359" spans="1:30" hidden="1">
      <c r="A359" s="2" t="s">
        <v>1719</v>
      </c>
      <c r="B359" s="3">
        <v>43679</v>
      </c>
      <c r="C359" s="1" t="s">
        <v>1827</v>
      </c>
      <c r="D359" s="1" t="s">
        <v>65</v>
      </c>
      <c r="E359" s="1" t="s">
        <v>66</v>
      </c>
      <c r="F359" s="1" t="s">
        <v>34</v>
      </c>
      <c r="G359" s="2" t="s">
        <v>1828</v>
      </c>
      <c r="H359" s="1" t="s">
        <v>68</v>
      </c>
      <c r="I359" s="6"/>
      <c r="J359" s="4">
        <v>6</v>
      </c>
      <c r="L359" s="4"/>
      <c r="M359" s="1" t="s">
        <v>85</v>
      </c>
      <c r="N359" s="1" t="s">
        <v>86</v>
      </c>
      <c r="O359" s="1" t="s">
        <v>1829</v>
      </c>
      <c r="P359" s="1" t="s">
        <v>965</v>
      </c>
      <c r="Q359" s="1" t="s">
        <v>1830</v>
      </c>
      <c r="R359" s="2">
        <v>55401</v>
      </c>
      <c r="S359" s="2">
        <v>44.985886000000001</v>
      </c>
      <c r="T359" s="2">
        <v>-93.270270999999994</v>
      </c>
      <c r="U359" s="1"/>
      <c r="V359" s="1"/>
      <c r="W359" s="5"/>
      <c r="X359" s="1"/>
      <c r="Y359" s="1"/>
      <c r="Z359" s="1"/>
      <c r="AA359" s="1"/>
      <c r="AB359" s="1"/>
      <c r="AC359" s="2" t="s">
        <v>51</v>
      </c>
      <c r="AD359" s="2">
        <f t="shared" si="5"/>
        <v>2019</v>
      </c>
    </row>
    <row r="360" spans="1:30" hidden="1">
      <c r="A360" s="2" t="s">
        <v>1719</v>
      </c>
      <c r="B360" s="3">
        <v>43679</v>
      </c>
      <c r="C360" s="1" t="s">
        <v>1831</v>
      </c>
      <c r="D360" s="1" t="s">
        <v>65</v>
      </c>
      <c r="E360" s="1" t="s">
        <v>66</v>
      </c>
      <c r="F360" s="1" t="s">
        <v>34</v>
      </c>
      <c r="G360" s="2" t="s">
        <v>1832</v>
      </c>
      <c r="H360" s="1" t="s">
        <v>389</v>
      </c>
      <c r="I360" s="6"/>
      <c r="J360" s="4">
        <v>30</v>
      </c>
      <c r="L360" s="4"/>
      <c r="M360" s="1" t="s">
        <v>796</v>
      </c>
      <c r="N360" s="1" t="s">
        <v>103</v>
      </c>
      <c r="O360" s="1" t="s">
        <v>1833</v>
      </c>
      <c r="P360" s="1" t="s">
        <v>965</v>
      </c>
      <c r="Q360" s="1" t="s">
        <v>1834</v>
      </c>
      <c r="R360" s="2">
        <v>55402</v>
      </c>
      <c r="S360" s="2">
        <v>44.975606999999997</v>
      </c>
      <c r="T360" s="2">
        <v>-93.273875000000004</v>
      </c>
      <c r="U360" s="1"/>
      <c r="V360" s="1"/>
      <c r="W360" s="5"/>
      <c r="X360" s="1"/>
      <c r="Y360" s="1"/>
      <c r="Z360" s="1"/>
      <c r="AA360" s="1"/>
      <c r="AB360" s="1"/>
      <c r="AC360" s="2" t="s">
        <v>51</v>
      </c>
      <c r="AD360" s="2">
        <f t="shared" si="5"/>
        <v>2019</v>
      </c>
    </row>
    <row r="361" spans="1:30" hidden="1">
      <c r="A361" s="2" t="s">
        <v>1719</v>
      </c>
      <c r="B361" s="3">
        <v>43679</v>
      </c>
      <c r="C361" s="1" t="s">
        <v>876</v>
      </c>
      <c r="D361" s="1" t="s">
        <v>65</v>
      </c>
      <c r="E361" s="1" t="s">
        <v>66</v>
      </c>
      <c r="F361" s="1" t="s">
        <v>34</v>
      </c>
      <c r="G361" s="2" t="s">
        <v>1835</v>
      </c>
      <c r="H361" s="1" t="s">
        <v>68</v>
      </c>
      <c r="I361" s="6"/>
      <c r="J361" s="4">
        <v>15</v>
      </c>
      <c r="L361" s="4"/>
      <c r="M361" s="1" t="s">
        <v>450</v>
      </c>
      <c r="N361" s="1" t="s">
        <v>48</v>
      </c>
      <c r="O361" s="1" t="s">
        <v>1836</v>
      </c>
      <c r="P361" s="1" t="s">
        <v>965</v>
      </c>
      <c r="Q361" s="1" t="s">
        <v>879</v>
      </c>
      <c r="R361" s="2">
        <v>55413</v>
      </c>
      <c r="S361" s="2">
        <v>45.002665</v>
      </c>
      <c r="T361" s="2">
        <v>-93.248981000000001</v>
      </c>
      <c r="U361" s="1"/>
      <c r="V361" s="1"/>
      <c r="W361" s="5"/>
      <c r="X361" s="1"/>
      <c r="Y361" s="1"/>
      <c r="Z361" s="1"/>
      <c r="AA361" s="1"/>
      <c r="AB361" s="1"/>
      <c r="AC361" s="2" t="s">
        <v>51</v>
      </c>
      <c r="AD361" s="2">
        <f t="shared" si="5"/>
        <v>2019</v>
      </c>
    </row>
    <row r="362" spans="1:30" hidden="1">
      <c r="A362" s="2" t="s">
        <v>1719</v>
      </c>
      <c r="B362" s="3">
        <v>43679</v>
      </c>
      <c r="C362" s="1" t="s">
        <v>244</v>
      </c>
      <c r="D362" s="1" t="s">
        <v>544</v>
      </c>
      <c r="E362" s="1" t="s">
        <v>66</v>
      </c>
      <c r="F362" s="1" t="s">
        <v>34</v>
      </c>
      <c r="G362" s="2" t="s">
        <v>1837</v>
      </c>
      <c r="H362" s="1" t="s">
        <v>68</v>
      </c>
      <c r="I362" s="6"/>
      <c r="J362" s="4">
        <v>18</v>
      </c>
      <c r="L362" s="4"/>
      <c r="M362" s="1" t="s">
        <v>85</v>
      </c>
      <c r="N362" s="1" t="s">
        <v>86</v>
      </c>
      <c r="O362" s="1" t="s">
        <v>1838</v>
      </c>
      <c r="P362" s="1" t="s">
        <v>965</v>
      </c>
      <c r="Q362" s="1" t="s">
        <v>1839</v>
      </c>
      <c r="R362" s="2">
        <v>55426</v>
      </c>
      <c r="S362" s="2">
        <v>44.969523000000002</v>
      </c>
      <c r="T362" s="2">
        <v>-93.361908999999997</v>
      </c>
      <c r="U362" s="1"/>
      <c r="V362" s="1"/>
      <c r="W362" s="5"/>
      <c r="X362" s="1"/>
      <c r="Y362" s="1"/>
      <c r="Z362" s="1"/>
      <c r="AA362" s="1"/>
      <c r="AB362" s="1"/>
      <c r="AC362" s="2" t="s">
        <v>51</v>
      </c>
      <c r="AD362" s="2">
        <f t="shared" si="5"/>
        <v>2019</v>
      </c>
    </row>
    <row r="363" spans="1:30" hidden="1">
      <c r="A363" s="2" t="s">
        <v>1719</v>
      </c>
      <c r="B363" s="3">
        <v>43679</v>
      </c>
      <c r="C363" s="1" t="s">
        <v>1840</v>
      </c>
      <c r="D363" s="1" t="s">
        <v>32</v>
      </c>
      <c r="E363" s="1" t="s">
        <v>33</v>
      </c>
      <c r="F363" s="1" t="s">
        <v>34</v>
      </c>
      <c r="G363" s="2" t="s">
        <v>1841</v>
      </c>
      <c r="H363" s="1" t="s">
        <v>68</v>
      </c>
      <c r="I363" s="9"/>
      <c r="J363" s="33">
        <v>40</v>
      </c>
      <c r="L363" s="4"/>
      <c r="M363" s="2" t="s">
        <v>240</v>
      </c>
      <c r="N363" s="2" t="s">
        <v>241</v>
      </c>
      <c r="O363" s="1" t="s">
        <v>1842</v>
      </c>
      <c r="P363" s="1" t="s">
        <v>965</v>
      </c>
      <c r="Q363" s="1" t="s">
        <v>1843</v>
      </c>
      <c r="R363" s="2">
        <v>56201</v>
      </c>
      <c r="S363" s="2">
        <v>45.138036</v>
      </c>
      <c r="T363" s="2">
        <v>-95.043182000000002</v>
      </c>
      <c r="U363" s="1"/>
      <c r="V363" s="1"/>
      <c r="W363" s="5"/>
      <c r="X363" s="1"/>
      <c r="Y363" s="1"/>
      <c r="Z363" s="1"/>
      <c r="AA363" s="1"/>
      <c r="AB363" s="1"/>
      <c r="AC363" s="2" t="s">
        <v>41</v>
      </c>
      <c r="AD363" s="2">
        <f t="shared" si="5"/>
        <v>2019</v>
      </c>
    </row>
    <row r="364" spans="1:30" hidden="1">
      <c r="A364" s="2" t="s">
        <v>1719</v>
      </c>
      <c r="B364" s="3">
        <v>43679</v>
      </c>
      <c r="C364" s="1" t="s">
        <v>1844</v>
      </c>
      <c r="D364" s="1" t="s">
        <v>65</v>
      </c>
      <c r="E364" s="1" t="s">
        <v>66</v>
      </c>
      <c r="F364" s="1" t="s">
        <v>34</v>
      </c>
      <c r="G364" s="2" t="s">
        <v>1845</v>
      </c>
      <c r="H364" s="1" t="s">
        <v>68</v>
      </c>
      <c r="I364" s="6"/>
      <c r="J364" s="4">
        <v>10</v>
      </c>
      <c r="L364" s="4"/>
      <c r="M364" s="2" t="s">
        <v>159</v>
      </c>
      <c r="N364" s="1" t="s">
        <v>86</v>
      </c>
      <c r="O364" s="1" t="s">
        <v>1846</v>
      </c>
      <c r="P364" s="1" t="s">
        <v>965</v>
      </c>
      <c r="Q364" s="1"/>
      <c r="R364" s="2">
        <v>55401</v>
      </c>
      <c r="S364" s="2">
        <v>44.984577000000002</v>
      </c>
      <c r="T364" s="2">
        <v>-93.269097000000002</v>
      </c>
      <c r="U364" s="1"/>
      <c r="V364" s="1"/>
      <c r="W364" s="5"/>
      <c r="X364" s="1"/>
      <c r="Y364" s="1"/>
      <c r="Z364" s="1" t="s">
        <v>260</v>
      </c>
      <c r="AA364" s="1" t="s">
        <v>261</v>
      </c>
      <c r="AB364" s="1"/>
      <c r="AC364" s="2" t="s">
        <v>51</v>
      </c>
      <c r="AD364" s="2">
        <f t="shared" si="5"/>
        <v>2019</v>
      </c>
    </row>
    <row r="365" spans="1:30" hidden="1">
      <c r="A365" s="2" t="s">
        <v>1719</v>
      </c>
      <c r="B365" s="3">
        <v>43679</v>
      </c>
      <c r="C365" s="1" t="s">
        <v>1847</v>
      </c>
      <c r="D365" s="1" t="s">
        <v>174</v>
      </c>
      <c r="E365" s="1" t="s">
        <v>66</v>
      </c>
      <c r="F365" s="1" t="s">
        <v>34</v>
      </c>
      <c r="G365" s="2" t="s">
        <v>1848</v>
      </c>
      <c r="H365" s="1"/>
      <c r="I365" s="6"/>
      <c r="J365" s="4">
        <v>10</v>
      </c>
      <c r="L365" s="4"/>
      <c r="M365" s="2" t="s">
        <v>159</v>
      </c>
      <c r="N365" s="1" t="s">
        <v>86</v>
      </c>
      <c r="O365" s="1" t="s">
        <v>1849</v>
      </c>
      <c r="P365" s="1" t="s">
        <v>965</v>
      </c>
      <c r="Q365" s="1" t="s">
        <v>1850</v>
      </c>
      <c r="R365" s="2">
        <v>55428</v>
      </c>
      <c r="S365" s="2">
        <v>45.083094000000003</v>
      </c>
      <c r="T365" s="2">
        <v>-93.388878000000005</v>
      </c>
      <c r="U365" s="1"/>
      <c r="V365" s="1"/>
      <c r="W365" s="5"/>
      <c r="X365" s="1"/>
      <c r="Y365" s="1"/>
      <c r="Z365" s="1"/>
      <c r="AA365" s="1"/>
      <c r="AB365" s="1"/>
      <c r="AC365" s="2" t="s">
        <v>51</v>
      </c>
      <c r="AD365" s="2">
        <f t="shared" si="5"/>
        <v>2019</v>
      </c>
    </row>
    <row r="366" spans="1:30" hidden="1">
      <c r="A366" s="2" t="s">
        <v>1719</v>
      </c>
      <c r="B366" s="3">
        <v>43690</v>
      </c>
      <c r="C366" s="1" t="s">
        <v>1851</v>
      </c>
      <c r="D366" s="1" t="s">
        <v>1143</v>
      </c>
      <c r="E366" s="1" t="s">
        <v>907</v>
      </c>
      <c r="F366" s="1" t="s">
        <v>34</v>
      </c>
      <c r="G366" s="2" t="s">
        <v>1852</v>
      </c>
      <c r="H366" s="1" t="s">
        <v>48</v>
      </c>
      <c r="I366" s="6">
        <v>19050000</v>
      </c>
      <c r="J366" s="4">
        <v>300</v>
      </c>
      <c r="L366" s="4">
        <v>160000</v>
      </c>
      <c r="M366" s="1" t="s">
        <v>47</v>
      </c>
      <c r="N366" s="1" t="s">
        <v>48</v>
      </c>
      <c r="O366" s="1" t="s">
        <v>1853</v>
      </c>
      <c r="P366" s="1" t="s">
        <v>1854</v>
      </c>
      <c r="Q366" s="1"/>
      <c r="R366" s="2">
        <v>56345</v>
      </c>
      <c r="S366" s="2">
        <v>45.980055</v>
      </c>
      <c r="T366" s="2">
        <v>-94.245867000000004</v>
      </c>
      <c r="U366" s="1" t="s">
        <v>60</v>
      </c>
      <c r="V366" s="1" t="s">
        <v>1662</v>
      </c>
      <c r="W366" s="5">
        <f>450000+175000</f>
        <v>625000</v>
      </c>
      <c r="X366" s="1"/>
      <c r="Y366" s="1" t="s">
        <v>1851</v>
      </c>
      <c r="Z366" s="1" t="s">
        <v>1042</v>
      </c>
      <c r="AA366" s="1" t="s">
        <v>34</v>
      </c>
      <c r="AB366" s="1"/>
      <c r="AC366" s="2" t="s">
        <v>41</v>
      </c>
      <c r="AD366" s="2">
        <f t="shared" si="5"/>
        <v>2019</v>
      </c>
    </row>
    <row r="367" spans="1:30" hidden="1">
      <c r="A367" s="2" t="s">
        <v>1719</v>
      </c>
      <c r="B367" s="3">
        <v>43691</v>
      </c>
      <c r="C367" s="1" t="s">
        <v>1855</v>
      </c>
      <c r="D367" s="1" t="s">
        <v>53</v>
      </c>
      <c r="E367" s="1" t="s">
        <v>54</v>
      </c>
      <c r="F367" s="1" t="s">
        <v>34</v>
      </c>
      <c r="G367" s="2" t="s">
        <v>1856</v>
      </c>
      <c r="H367" s="1" t="s">
        <v>46</v>
      </c>
      <c r="I367" s="6"/>
      <c r="J367" s="4"/>
      <c r="L367" s="4">
        <v>25000</v>
      </c>
      <c r="M367" s="1" t="s">
        <v>57</v>
      </c>
      <c r="N367" s="1" t="s">
        <v>48</v>
      </c>
      <c r="O367" s="1" t="s">
        <v>1857</v>
      </c>
      <c r="P367" s="1" t="s">
        <v>965</v>
      </c>
      <c r="Q367" s="1" t="s">
        <v>1858</v>
      </c>
      <c r="R367" s="2">
        <v>55318</v>
      </c>
      <c r="S367" s="2">
        <v>44.838582000000002</v>
      </c>
      <c r="T367" s="2">
        <v>-93.600645</v>
      </c>
      <c r="U367" s="1"/>
      <c r="V367" s="1"/>
      <c r="W367" s="5"/>
      <c r="X367" s="1"/>
      <c r="Y367" s="1"/>
      <c r="Z367" s="1"/>
      <c r="AA367" s="1"/>
      <c r="AB367" s="1"/>
      <c r="AC367" s="2" t="s">
        <v>51</v>
      </c>
      <c r="AD367" s="2">
        <f t="shared" si="5"/>
        <v>2019</v>
      </c>
    </row>
    <row r="368" spans="1:30" hidden="1">
      <c r="A368" s="2" t="s">
        <v>1719</v>
      </c>
      <c r="B368" s="3">
        <v>43698</v>
      </c>
      <c r="C368" s="1" t="s">
        <v>1859</v>
      </c>
      <c r="D368" s="1" t="s">
        <v>400</v>
      </c>
      <c r="E368" s="1" t="s">
        <v>572</v>
      </c>
      <c r="F368" s="1" t="s">
        <v>34</v>
      </c>
      <c r="G368" s="2" t="s">
        <v>1860</v>
      </c>
      <c r="H368" s="1" t="s">
        <v>188</v>
      </c>
      <c r="I368" s="6"/>
      <c r="J368" s="4">
        <v>60</v>
      </c>
      <c r="L368" s="4">
        <v>40000</v>
      </c>
      <c r="M368" s="1" t="s">
        <v>93</v>
      </c>
      <c r="N368" s="1" t="s">
        <v>48</v>
      </c>
      <c r="O368" s="1" t="s">
        <v>1861</v>
      </c>
      <c r="P368" s="1" t="s">
        <v>1327</v>
      </c>
      <c r="Q368" s="1" t="s">
        <v>1862</v>
      </c>
      <c r="R368" s="2">
        <v>55362</v>
      </c>
      <c r="S368" s="2">
        <v>45.293705000000003</v>
      </c>
      <c r="T368" s="2">
        <v>-93.785929999999993</v>
      </c>
      <c r="U368" s="1" t="s">
        <v>60</v>
      </c>
      <c r="V368" s="1" t="s">
        <v>1863</v>
      </c>
      <c r="W368" s="5">
        <v>475000</v>
      </c>
      <c r="X368" s="1"/>
      <c r="Y368" s="1"/>
      <c r="Z368" s="1"/>
      <c r="AA368" s="1"/>
      <c r="AB368" s="1"/>
      <c r="AC368" s="2" t="s">
        <v>41</v>
      </c>
      <c r="AD368" s="2">
        <f t="shared" si="5"/>
        <v>2019</v>
      </c>
    </row>
    <row r="369" spans="1:30" hidden="1">
      <c r="A369" s="2" t="s">
        <v>1719</v>
      </c>
      <c r="B369" s="3">
        <v>43699</v>
      </c>
      <c r="C369" s="1" t="s">
        <v>1864</v>
      </c>
      <c r="D369" s="1" t="s">
        <v>676</v>
      </c>
      <c r="E369" s="1" t="s">
        <v>677</v>
      </c>
      <c r="F369" s="1" t="s">
        <v>34</v>
      </c>
      <c r="G369" s="2" t="s">
        <v>1865</v>
      </c>
      <c r="H369" s="1" t="s">
        <v>1784</v>
      </c>
      <c r="I369" s="6"/>
      <c r="J369" s="4"/>
      <c r="L369" s="4"/>
      <c r="M369" s="1" t="s">
        <v>167</v>
      </c>
      <c r="N369" s="1" t="s">
        <v>48</v>
      </c>
      <c r="O369" s="1" t="s">
        <v>1866</v>
      </c>
      <c r="P369" s="1" t="s">
        <v>965</v>
      </c>
      <c r="Q369" s="1"/>
      <c r="S369" s="2">
        <v>46.316133999999998</v>
      </c>
      <c r="T369" s="2">
        <v>-94.199479999999994</v>
      </c>
      <c r="U369" s="1"/>
      <c r="V369" s="1"/>
      <c r="W369" s="5"/>
      <c r="X369" s="1" t="s">
        <v>116</v>
      </c>
      <c r="Y369" s="1" t="s">
        <v>1867</v>
      </c>
      <c r="Z369" s="1" t="s">
        <v>1868</v>
      </c>
      <c r="AA369" s="1"/>
      <c r="AB369" s="1" t="s">
        <v>1869</v>
      </c>
      <c r="AC369" s="2" t="s">
        <v>51</v>
      </c>
      <c r="AD369" s="2">
        <f t="shared" si="5"/>
        <v>2019</v>
      </c>
    </row>
    <row r="370" spans="1:30" hidden="1">
      <c r="A370" s="2" t="s">
        <v>1719</v>
      </c>
      <c r="B370" s="3">
        <v>43704</v>
      </c>
      <c r="C370" s="1" t="s">
        <v>1870</v>
      </c>
      <c r="D370" s="1" t="s">
        <v>728</v>
      </c>
      <c r="E370" s="1" t="s">
        <v>395</v>
      </c>
      <c r="F370" s="1" t="s">
        <v>34</v>
      </c>
      <c r="G370" s="2" t="s">
        <v>1871</v>
      </c>
      <c r="H370" s="1" t="s">
        <v>46</v>
      </c>
      <c r="I370" s="6">
        <v>1530000</v>
      </c>
      <c r="J370" s="4">
        <v>5</v>
      </c>
      <c r="L370" s="4"/>
      <c r="M370" s="1" t="s">
        <v>574</v>
      </c>
      <c r="N370" s="1" t="s">
        <v>48</v>
      </c>
      <c r="O370" s="1" t="s">
        <v>1872</v>
      </c>
      <c r="P370" s="1" t="s">
        <v>188</v>
      </c>
      <c r="Q370" s="1" t="s">
        <v>1873</v>
      </c>
      <c r="R370" s="2">
        <v>55330</v>
      </c>
      <c r="S370" s="2">
        <v>45.261000000000003</v>
      </c>
      <c r="T370" s="2">
        <v>-93.512538000000006</v>
      </c>
      <c r="U370" s="1" t="s">
        <v>60</v>
      </c>
      <c r="V370" s="1" t="s">
        <v>1306</v>
      </c>
      <c r="W370" s="5">
        <v>42474</v>
      </c>
      <c r="X370" s="1"/>
      <c r="Y370" s="1"/>
      <c r="Z370" s="1"/>
      <c r="AA370" s="1"/>
      <c r="AB370" s="1"/>
      <c r="AC370" s="2" t="s">
        <v>41</v>
      </c>
      <c r="AD370" s="2">
        <f t="shared" si="5"/>
        <v>2019</v>
      </c>
    </row>
    <row r="371" spans="1:30" hidden="1">
      <c r="A371" s="2" t="s">
        <v>1719</v>
      </c>
      <c r="B371" s="3">
        <v>43705</v>
      </c>
      <c r="C371" s="1" t="s">
        <v>929</v>
      </c>
      <c r="D371" s="1" t="s">
        <v>528</v>
      </c>
      <c r="E371" s="1" t="s">
        <v>66</v>
      </c>
      <c r="F371" s="1" t="s">
        <v>34</v>
      </c>
      <c r="G371" s="2" t="s">
        <v>1874</v>
      </c>
      <c r="H371" s="1" t="s">
        <v>48</v>
      </c>
      <c r="I371" s="6">
        <v>80000000</v>
      </c>
      <c r="J371" s="4">
        <v>50</v>
      </c>
      <c r="L371" s="4">
        <v>66724</v>
      </c>
      <c r="M371" s="1" t="s">
        <v>450</v>
      </c>
      <c r="N371" s="1" t="s">
        <v>48</v>
      </c>
      <c r="O371" s="7" t="s">
        <v>1875</v>
      </c>
      <c r="P371" s="1" t="s">
        <v>965</v>
      </c>
      <c r="Q371" s="1" t="s">
        <v>932</v>
      </c>
      <c r="R371" s="2">
        <v>55425</v>
      </c>
      <c r="S371" s="2">
        <v>44.847811999999998</v>
      </c>
      <c r="T371" s="2">
        <v>-93.237697999999995</v>
      </c>
      <c r="U371" s="1"/>
      <c r="V371" s="1"/>
      <c r="W371" s="5"/>
      <c r="X371" s="1"/>
      <c r="Y371" s="1" t="s">
        <v>1876</v>
      </c>
      <c r="Z371" s="1" t="s">
        <v>96</v>
      </c>
      <c r="AA371" s="1" t="s">
        <v>34</v>
      </c>
      <c r="AB371" s="1"/>
      <c r="AC371" s="2" t="s">
        <v>51</v>
      </c>
      <c r="AD371" s="2">
        <f t="shared" si="5"/>
        <v>2019</v>
      </c>
    </row>
    <row r="372" spans="1:30" hidden="1">
      <c r="A372" s="42" t="s">
        <v>1719</v>
      </c>
      <c r="B372" s="42">
        <v>43709</v>
      </c>
      <c r="C372" s="2" t="s">
        <v>1877</v>
      </c>
      <c r="D372" s="2" t="s">
        <v>528</v>
      </c>
      <c r="E372" s="2" t="s">
        <v>66</v>
      </c>
      <c r="F372" s="1" t="s">
        <v>34</v>
      </c>
      <c r="G372" s="2" t="s">
        <v>1878</v>
      </c>
      <c r="H372" s="2" t="s">
        <v>1879</v>
      </c>
      <c r="I372" s="11"/>
      <c r="M372" s="2" t="s">
        <v>167</v>
      </c>
      <c r="N372" s="2" t="s">
        <v>48</v>
      </c>
      <c r="O372" s="7" t="s">
        <v>1880</v>
      </c>
      <c r="P372" s="2" t="s">
        <v>965</v>
      </c>
      <c r="Q372" s="154" t="s">
        <v>1881</v>
      </c>
      <c r="R372" s="2">
        <v>55431</v>
      </c>
      <c r="S372" s="2">
        <v>44.832580999999998</v>
      </c>
      <c r="T372" s="2">
        <v>-93.299891000000002</v>
      </c>
      <c r="W372" s="5"/>
      <c r="AB372" s="2" t="s">
        <v>1882</v>
      </c>
      <c r="AC372" s="2" t="s">
        <v>51</v>
      </c>
      <c r="AD372" s="2">
        <f t="shared" si="5"/>
        <v>2019</v>
      </c>
    </row>
    <row r="373" spans="1:30" hidden="1">
      <c r="A373" s="2" t="s">
        <v>1719</v>
      </c>
      <c r="B373" s="3">
        <v>43712</v>
      </c>
      <c r="C373" s="1" t="s">
        <v>1883</v>
      </c>
      <c r="D373" s="1" t="s">
        <v>539</v>
      </c>
      <c r="E373" s="1" t="s">
        <v>74</v>
      </c>
      <c r="F373" s="1" t="s">
        <v>34</v>
      </c>
      <c r="G373" s="2" t="s">
        <v>1884</v>
      </c>
      <c r="H373" s="1" t="s">
        <v>68</v>
      </c>
      <c r="I373" s="6"/>
      <c r="J373" s="4">
        <v>40</v>
      </c>
      <c r="L373" s="4"/>
      <c r="M373" s="2" t="s">
        <v>159</v>
      </c>
      <c r="N373" s="1" t="s">
        <v>86</v>
      </c>
      <c r="O373" s="1" t="s">
        <v>1885</v>
      </c>
      <c r="P373" s="2" t="s">
        <v>965</v>
      </c>
      <c r="Q373" s="1" t="s">
        <v>1886</v>
      </c>
      <c r="R373" s="2">
        <v>55337</v>
      </c>
      <c r="S373" s="2">
        <v>44.776795999999997</v>
      </c>
      <c r="T373" s="2">
        <v>-93.284290999999996</v>
      </c>
      <c r="U373" s="1"/>
      <c r="V373" s="1"/>
      <c r="W373" s="1"/>
      <c r="X373" s="1"/>
      <c r="Y373" s="1"/>
      <c r="Z373" s="1"/>
      <c r="AA373" s="1"/>
      <c r="AB373" s="1"/>
      <c r="AC373" s="2" t="s">
        <v>51</v>
      </c>
      <c r="AD373" s="2">
        <f t="shared" si="5"/>
        <v>2019</v>
      </c>
    </row>
    <row r="374" spans="1:30" hidden="1">
      <c r="A374" s="2" t="s">
        <v>1719</v>
      </c>
      <c r="B374" s="3">
        <v>43712</v>
      </c>
      <c r="C374" s="1" t="s">
        <v>1887</v>
      </c>
      <c r="D374" s="1" t="s">
        <v>1741</v>
      </c>
      <c r="E374" s="1" t="s">
        <v>1253</v>
      </c>
      <c r="F374" s="1" t="s">
        <v>34</v>
      </c>
      <c r="G374" s="2" t="s">
        <v>1888</v>
      </c>
      <c r="H374" s="1" t="s">
        <v>342</v>
      </c>
      <c r="I374" s="6"/>
      <c r="J374" s="4"/>
      <c r="L374" s="4">
        <v>42000</v>
      </c>
      <c r="M374" s="1" t="s">
        <v>417</v>
      </c>
      <c r="N374" s="1" t="s">
        <v>48</v>
      </c>
      <c r="O374" s="1" t="s">
        <v>1889</v>
      </c>
      <c r="P374" s="1" t="s">
        <v>188</v>
      </c>
      <c r="Q374" s="1"/>
      <c r="R374" s="2">
        <v>55060</v>
      </c>
      <c r="S374" s="2">
        <v>44.047612999999998</v>
      </c>
      <c r="T374" s="2">
        <v>-93.223724000000004</v>
      </c>
      <c r="U374" s="1"/>
      <c r="V374" s="1"/>
      <c r="W374" s="5"/>
      <c r="X374" s="1"/>
      <c r="Y374" s="1" t="s">
        <v>1887</v>
      </c>
      <c r="Z374" s="1" t="s">
        <v>1890</v>
      </c>
      <c r="AA374" s="1" t="s">
        <v>34</v>
      </c>
      <c r="AB374" s="1"/>
      <c r="AC374" s="2" t="s">
        <v>120</v>
      </c>
      <c r="AD374" s="2">
        <f t="shared" si="5"/>
        <v>2019</v>
      </c>
    </row>
    <row r="375" spans="1:30" ht="18" hidden="1">
      <c r="A375" s="2" t="s">
        <v>1719</v>
      </c>
      <c r="B375" s="3">
        <v>43717</v>
      </c>
      <c r="C375" s="1" t="s">
        <v>128</v>
      </c>
      <c r="D375" s="1" t="s">
        <v>129</v>
      </c>
      <c r="E375" s="1" t="s">
        <v>91</v>
      </c>
      <c r="F375" s="1" t="s">
        <v>34</v>
      </c>
      <c r="G375" s="2" t="s">
        <v>1891</v>
      </c>
      <c r="H375" s="2" t="s">
        <v>131</v>
      </c>
      <c r="I375" s="9"/>
      <c r="J375" s="4">
        <v>15</v>
      </c>
      <c r="L375" s="4"/>
      <c r="M375" s="1" t="s">
        <v>132</v>
      </c>
      <c r="N375" s="1" t="s">
        <v>48</v>
      </c>
      <c r="O375" s="1" t="s">
        <v>1892</v>
      </c>
      <c r="P375" s="1" t="s">
        <v>965</v>
      </c>
      <c r="Q375" s="144" t="s">
        <v>134</v>
      </c>
      <c r="R375" s="2">
        <v>55768</v>
      </c>
      <c r="S375" s="2">
        <v>47.521563</v>
      </c>
      <c r="T375" s="2">
        <v>-92.606620000000007</v>
      </c>
      <c r="U375" s="1"/>
      <c r="V375" s="1"/>
      <c r="W375" s="5"/>
      <c r="X375" s="1" t="s">
        <v>116</v>
      </c>
      <c r="Y375" s="1" t="s">
        <v>128</v>
      </c>
      <c r="Z375" s="1" t="s">
        <v>135</v>
      </c>
      <c r="AA375" s="1" t="s">
        <v>136</v>
      </c>
      <c r="AB375" s="1" t="s">
        <v>137</v>
      </c>
      <c r="AC375" s="2" t="s">
        <v>97</v>
      </c>
      <c r="AD375" s="2">
        <f t="shared" si="5"/>
        <v>2019</v>
      </c>
    </row>
    <row r="376" spans="1:30" hidden="1">
      <c r="A376" s="2" t="s">
        <v>1719</v>
      </c>
      <c r="B376" s="3">
        <v>43718</v>
      </c>
      <c r="C376" s="1" t="s">
        <v>1893</v>
      </c>
      <c r="D376" s="1" t="s">
        <v>111</v>
      </c>
      <c r="E376" s="1" t="s">
        <v>112</v>
      </c>
      <c r="F376" s="1" t="s">
        <v>34</v>
      </c>
      <c r="G376" s="2" t="s">
        <v>1894</v>
      </c>
      <c r="H376" s="1" t="s">
        <v>1895</v>
      </c>
      <c r="I376" s="6"/>
      <c r="J376" s="4"/>
      <c r="L376" s="4"/>
      <c r="M376" s="1" t="s">
        <v>737</v>
      </c>
      <c r="N376" s="1" t="s">
        <v>300</v>
      </c>
      <c r="O376" s="1" t="s">
        <v>1896</v>
      </c>
      <c r="P376" s="1" t="s">
        <v>285</v>
      </c>
      <c r="Q376" s="1"/>
      <c r="R376" s="2">
        <v>55901</v>
      </c>
      <c r="S376" s="2">
        <v>44.075285000000001</v>
      </c>
      <c r="T376" s="2">
        <v>-92.516915999999995</v>
      </c>
      <c r="U376" s="1"/>
      <c r="V376" s="1"/>
      <c r="W376" s="5"/>
      <c r="X376" s="1"/>
      <c r="Y376" s="1" t="s">
        <v>1897</v>
      </c>
      <c r="Z376" s="1" t="s">
        <v>1898</v>
      </c>
      <c r="AA376" s="1" t="s">
        <v>961</v>
      </c>
      <c r="AB376" s="1"/>
      <c r="AC376" s="2" t="s">
        <v>120</v>
      </c>
      <c r="AD376" s="2">
        <f t="shared" si="5"/>
        <v>2019</v>
      </c>
    </row>
    <row r="377" spans="1:30" hidden="1">
      <c r="A377" s="2" t="s">
        <v>1719</v>
      </c>
      <c r="B377" s="3">
        <v>43719</v>
      </c>
      <c r="C377" s="1" t="s">
        <v>1899</v>
      </c>
      <c r="D377" s="1" t="s">
        <v>776</v>
      </c>
      <c r="E377" s="1" t="s">
        <v>66</v>
      </c>
      <c r="F377" s="1" t="s">
        <v>34</v>
      </c>
      <c r="G377" s="2" t="s">
        <v>1900</v>
      </c>
      <c r="H377" s="1" t="s">
        <v>68</v>
      </c>
      <c r="I377" s="6">
        <v>7050000</v>
      </c>
      <c r="J377" s="4"/>
      <c r="L377" s="4">
        <v>37300</v>
      </c>
      <c r="M377" s="1"/>
      <c r="N377" s="1" t="s">
        <v>37</v>
      </c>
      <c r="O377" s="1" t="s">
        <v>1901</v>
      </c>
      <c r="P377" s="1" t="s">
        <v>647</v>
      </c>
      <c r="Q377" s="1" t="s">
        <v>1902</v>
      </c>
      <c r="R377" s="2">
        <v>55439</v>
      </c>
      <c r="S377" s="2">
        <v>44.872954</v>
      </c>
      <c r="T377" s="2">
        <v>-93.354772999999994</v>
      </c>
      <c r="U377" s="1"/>
      <c r="V377" s="1"/>
      <c r="W377" s="5"/>
      <c r="X377" s="1"/>
      <c r="Y377" s="1"/>
      <c r="Z377" s="1"/>
      <c r="AA377" s="1"/>
      <c r="AB377" s="1"/>
      <c r="AC377" s="2" t="s">
        <v>51</v>
      </c>
      <c r="AD377" s="2">
        <f t="shared" si="5"/>
        <v>2019</v>
      </c>
    </row>
    <row r="378" spans="1:30" hidden="1">
      <c r="A378" s="2" t="s">
        <v>1719</v>
      </c>
      <c r="B378" s="3">
        <v>43719</v>
      </c>
      <c r="C378" s="1" t="s">
        <v>1903</v>
      </c>
      <c r="D378" s="1" t="s">
        <v>448</v>
      </c>
      <c r="E378" s="1" t="s">
        <v>66</v>
      </c>
      <c r="F378" s="1" t="s">
        <v>34</v>
      </c>
      <c r="G378" s="2" t="s">
        <v>1904</v>
      </c>
      <c r="H378" s="1" t="s">
        <v>101</v>
      </c>
      <c r="I378" s="6"/>
      <c r="J378" s="4"/>
      <c r="L378" s="4">
        <v>5000</v>
      </c>
      <c r="M378" s="1" t="s">
        <v>193</v>
      </c>
      <c r="N378" s="1" t="s">
        <v>103</v>
      </c>
      <c r="O378" s="1" t="s">
        <v>1901</v>
      </c>
      <c r="P378" s="1" t="s">
        <v>647</v>
      </c>
      <c r="Q378" s="1" t="s">
        <v>1905</v>
      </c>
      <c r="R378" s="2">
        <v>55344</v>
      </c>
      <c r="S378" s="2">
        <v>44.868481000000003</v>
      </c>
      <c r="T378" s="2">
        <v>-93.426793000000004</v>
      </c>
      <c r="U378" s="1"/>
      <c r="V378" s="1"/>
      <c r="W378" s="5"/>
      <c r="X378" s="1"/>
      <c r="Y378" s="1" t="s">
        <v>1903</v>
      </c>
      <c r="Z378" s="1" t="s">
        <v>776</v>
      </c>
      <c r="AA378" s="1" t="s">
        <v>34</v>
      </c>
      <c r="AB378" s="1"/>
      <c r="AC378" s="2" t="s">
        <v>51</v>
      </c>
      <c r="AD378" s="2">
        <f t="shared" si="5"/>
        <v>2019</v>
      </c>
    </row>
    <row r="379" spans="1:30" hidden="1">
      <c r="A379" s="2" t="s">
        <v>1719</v>
      </c>
      <c r="B379" s="3">
        <v>43720</v>
      </c>
      <c r="C379" s="1" t="s">
        <v>1906</v>
      </c>
      <c r="D379" s="1" t="s">
        <v>65</v>
      </c>
      <c r="E379" s="1" t="s">
        <v>66</v>
      </c>
      <c r="F379" s="1" t="s">
        <v>34</v>
      </c>
      <c r="G379" s="2" t="s">
        <v>1907</v>
      </c>
      <c r="H379" s="1" t="s">
        <v>101</v>
      </c>
      <c r="I379" s="6"/>
      <c r="J379" s="4"/>
      <c r="L379" s="4"/>
      <c r="M379" s="1"/>
      <c r="N379" s="1" t="s">
        <v>140</v>
      </c>
      <c r="O379" s="1" t="s">
        <v>1908</v>
      </c>
      <c r="P379" s="1" t="s">
        <v>285</v>
      </c>
      <c r="Q379" s="1" t="s">
        <v>1909</v>
      </c>
      <c r="R379" s="2">
        <v>55433</v>
      </c>
      <c r="S379" s="2">
        <v>45.189349999999997</v>
      </c>
      <c r="T379" s="2">
        <v>-93.365716000000006</v>
      </c>
      <c r="U379" s="1"/>
      <c r="V379" s="1"/>
      <c r="W379" s="5"/>
      <c r="X379" s="1"/>
      <c r="Y379" s="1" t="s">
        <v>1906</v>
      </c>
      <c r="Z379" s="1" t="s">
        <v>65</v>
      </c>
      <c r="AA379" s="1" t="s">
        <v>34</v>
      </c>
      <c r="AB379" s="1"/>
      <c r="AC379" s="2" t="s">
        <v>51</v>
      </c>
      <c r="AD379" s="2">
        <f t="shared" si="5"/>
        <v>2019</v>
      </c>
    </row>
    <row r="380" spans="1:30" hidden="1">
      <c r="A380" s="2" t="s">
        <v>1719</v>
      </c>
      <c r="B380" s="3">
        <v>43724</v>
      </c>
      <c r="C380" s="1" t="s">
        <v>1910</v>
      </c>
      <c r="D380" s="1" t="s">
        <v>1911</v>
      </c>
      <c r="E380" s="1" t="s">
        <v>572</v>
      </c>
      <c r="F380" s="1" t="s">
        <v>34</v>
      </c>
      <c r="G380" s="2" t="s">
        <v>1912</v>
      </c>
      <c r="H380" s="1" t="s">
        <v>554</v>
      </c>
      <c r="I380" s="9">
        <v>3888448</v>
      </c>
      <c r="J380" s="4">
        <v>10</v>
      </c>
      <c r="L380" s="4">
        <v>20000</v>
      </c>
      <c r="M380" s="1" t="s">
        <v>574</v>
      </c>
      <c r="N380" s="1" t="s">
        <v>48</v>
      </c>
      <c r="O380" s="1" t="s">
        <v>1913</v>
      </c>
      <c r="P380" s="1" t="s">
        <v>188</v>
      </c>
      <c r="Q380" s="1" t="s">
        <v>1914</v>
      </c>
      <c r="R380" s="2">
        <v>55313</v>
      </c>
      <c r="S380" s="2">
        <v>45.172358000000003</v>
      </c>
      <c r="T380" s="2">
        <v>-93.855735999999993</v>
      </c>
      <c r="U380" s="1" t="s">
        <v>60</v>
      </c>
      <c r="V380" s="1" t="s">
        <v>1306</v>
      </c>
      <c r="W380" s="5">
        <v>139422</v>
      </c>
      <c r="X380" s="1"/>
      <c r="Y380" s="1"/>
      <c r="Z380" s="1"/>
      <c r="AA380" s="1"/>
      <c r="AB380" s="1"/>
      <c r="AC380" s="2" t="s">
        <v>41</v>
      </c>
      <c r="AD380" s="2">
        <f t="shared" si="5"/>
        <v>2019</v>
      </c>
    </row>
    <row r="381" spans="1:30" hidden="1">
      <c r="A381" s="2" t="s">
        <v>1719</v>
      </c>
      <c r="B381" s="3">
        <v>43726</v>
      </c>
      <c r="C381" s="1" t="s">
        <v>483</v>
      </c>
      <c r="D381" s="1" t="s">
        <v>1741</v>
      </c>
      <c r="E381" s="1" t="s">
        <v>1253</v>
      </c>
      <c r="F381" s="1" t="s">
        <v>34</v>
      </c>
      <c r="G381" s="2" t="s">
        <v>1915</v>
      </c>
      <c r="H381" s="1" t="s">
        <v>342</v>
      </c>
      <c r="I381" s="6"/>
      <c r="J381" s="4"/>
      <c r="L381" s="4">
        <v>150000</v>
      </c>
      <c r="M381" s="1" t="s">
        <v>93</v>
      </c>
      <c r="N381" s="1" t="s">
        <v>48</v>
      </c>
      <c r="O381" s="1" t="s">
        <v>1916</v>
      </c>
      <c r="P381" s="1" t="s">
        <v>285</v>
      </c>
      <c r="Q381" s="1" t="s">
        <v>1917</v>
      </c>
      <c r="R381" s="2">
        <v>55060</v>
      </c>
      <c r="S381" s="2">
        <v>44.093691999999997</v>
      </c>
      <c r="T381" s="2">
        <v>-93.251771000000005</v>
      </c>
      <c r="U381" s="1" t="s">
        <v>60</v>
      </c>
      <c r="V381" s="1" t="s">
        <v>379</v>
      </c>
      <c r="W381" s="155">
        <v>1471017</v>
      </c>
      <c r="X381" s="1"/>
      <c r="Y381" s="1" t="s">
        <v>487</v>
      </c>
      <c r="Z381" s="1" t="s">
        <v>340</v>
      </c>
      <c r="AA381" s="1" t="s">
        <v>34</v>
      </c>
      <c r="AB381" s="1"/>
      <c r="AC381" s="2" t="s">
        <v>120</v>
      </c>
      <c r="AD381" s="2">
        <f t="shared" si="5"/>
        <v>2019</v>
      </c>
    </row>
    <row r="382" spans="1:30" hidden="1">
      <c r="A382" s="2" t="s">
        <v>1719</v>
      </c>
      <c r="B382" s="3">
        <v>43727</v>
      </c>
      <c r="C382" s="1" t="s">
        <v>1918</v>
      </c>
      <c r="D382" s="1" t="s">
        <v>448</v>
      </c>
      <c r="E382" s="1" t="s">
        <v>66</v>
      </c>
      <c r="F382" s="1" t="s">
        <v>34</v>
      </c>
      <c r="G382" s="2" t="s">
        <v>1919</v>
      </c>
      <c r="H382" s="1" t="s">
        <v>68</v>
      </c>
      <c r="I382" s="6"/>
      <c r="J382" s="4">
        <v>250</v>
      </c>
      <c r="L382" s="4"/>
      <c r="M382" s="1"/>
      <c r="N382" s="1" t="s">
        <v>77</v>
      </c>
      <c r="O382" s="1" t="s">
        <v>1920</v>
      </c>
      <c r="P382" s="1" t="s">
        <v>285</v>
      </c>
      <c r="Q382" s="1" t="s">
        <v>1921</v>
      </c>
      <c r="R382" s="2">
        <v>55347</v>
      </c>
      <c r="S382" s="2">
        <v>44.820887999999997</v>
      </c>
      <c r="T382" s="2">
        <v>-93.460605999999999</v>
      </c>
      <c r="U382" s="1"/>
      <c r="V382" s="1"/>
      <c r="W382" s="5"/>
      <c r="X382" s="1"/>
      <c r="Y382" s="1"/>
      <c r="Z382" s="1"/>
      <c r="AA382" s="1"/>
      <c r="AB382" s="1"/>
      <c r="AC382" s="2" t="s">
        <v>51</v>
      </c>
      <c r="AD382" s="2">
        <f t="shared" si="5"/>
        <v>2019</v>
      </c>
    </row>
    <row r="383" spans="1:30" hidden="1">
      <c r="A383" s="2" t="s">
        <v>1719</v>
      </c>
      <c r="B383" s="3">
        <v>43727</v>
      </c>
      <c r="C383" s="1" t="s">
        <v>1922</v>
      </c>
      <c r="D383" s="1" t="s">
        <v>591</v>
      </c>
      <c r="E383" s="1" t="s">
        <v>66</v>
      </c>
      <c r="F383" s="1" t="s">
        <v>34</v>
      </c>
      <c r="G383" s="2" t="s">
        <v>1923</v>
      </c>
      <c r="H383" s="1" t="s">
        <v>68</v>
      </c>
      <c r="I383" s="6"/>
      <c r="J383" s="4"/>
      <c r="L383" s="4"/>
      <c r="M383" s="1"/>
      <c r="N383" s="1" t="s">
        <v>37</v>
      </c>
      <c r="O383" s="1" t="s">
        <v>1924</v>
      </c>
      <c r="P383" s="1" t="s">
        <v>285</v>
      </c>
      <c r="Q383" s="1" t="s">
        <v>1925</v>
      </c>
      <c r="R383" s="1" t="s">
        <v>1926</v>
      </c>
      <c r="S383" s="2">
        <v>44.896743999999998</v>
      </c>
      <c r="T383" s="2">
        <v>-93.439762000000002</v>
      </c>
      <c r="U383" s="1"/>
      <c r="V383" s="1"/>
      <c r="W383" s="5"/>
      <c r="X383" s="1"/>
      <c r="Y383" s="1"/>
      <c r="Z383" s="1"/>
      <c r="AA383" s="1"/>
      <c r="AB383" s="1"/>
      <c r="AC383" s="2" t="s">
        <v>51</v>
      </c>
      <c r="AD383" s="2">
        <f t="shared" si="5"/>
        <v>2019</v>
      </c>
    </row>
    <row r="384" spans="1:30" hidden="1">
      <c r="A384" s="2" t="s">
        <v>1719</v>
      </c>
      <c r="B384" s="3">
        <v>43728</v>
      </c>
      <c r="C384" s="1" t="s">
        <v>1927</v>
      </c>
      <c r="D384" s="1" t="s">
        <v>65</v>
      </c>
      <c r="E384" s="1" t="s">
        <v>66</v>
      </c>
      <c r="F384" s="1" t="s">
        <v>34</v>
      </c>
      <c r="G384" s="2" t="s">
        <v>1928</v>
      </c>
      <c r="H384" s="1" t="s">
        <v>101</v>
      </c>
      <c r="I384" s="6"/>
      <c r="J384" s="4"/>
      <c r="L384" s="4">
        <v>16000</v>
      </c>
      <c r="M384" s="1" t="s">
        <v>318</v>
      </c>
      <c r="N384" s="1" t="s">
        <v>86</v>
      </c>
      <c r="O384" s="1" t="s">
        <v>1929</v>
      </c>
      <c r="P384" s="1" t="s">
        <v>965</v>
      </c>
      <c r="Q384" s="1" t="s">
        <v>1930</v>
      </c>
      <c r="R384" s="2">
        <v>55402</v>
      </c>
      <c r="S384" s="2">
        <v>44.975915000000001</v>
      </c>
      <c r="T384" s="2">
        <v>-93.271825000000007</v>
      </c>
      <c r="U384" s="1"/>
      <c r="V384" s="1"/>
      <c r="W384" s="5"/>
      <c r="X384" s="1"/>
      <c r="Y384" s="1" t="s">
        <v>1931</v>
      </c>
      <c r="Z384" s="1" t="s">
        <v>1750</v>
      </c>
      <c r="AA384" s="1" t="s">
        <v>961</v>
      </c>
      <c r="AB384" s="1"/>
      <c r="AC384" s="2" t="s">
        <v>51</v>
      </c>
      <c r="AD384" s="2">
        <f t="shared" si="5"/>
        <v>2019</v>
      </c>
    </row>
    <row r="385" spans="1:30" hidden="1">
      <c r="A385" s="2" t="s">
        <v>1719</v>
      </c>
      <c r="B385" s="3">
        <v>43728</v>
      </c>
      <c r="C385" s="1" t="s">
        <v>1932</v>
      </c>
      <c r="D385" s="1" t="s">
        <v>111</v>
      </c>
      <c r="E385" s="1" t="s">
        <v>112</v>
      </c>
      <c r="F385" s="1" t="s">
        <v>34</v>
      </c>
      <c r="G385" s="2" t="s">
        <v>1933</v>
      </c>
      <c r="H385" s="1" t="s">
        <v>1784</v>
      </c>
      <c r="I385" s="6">
        <v>543000</v>
      </c>
      <c r="J385" s="4"/>
      <c r="L385" s="4">
        <v>16000</v>
      </c>
      <c r="M385" s="1" t="s">
        <v>167</v>
      </c>
      <c r="N385" s="1" t="s">
        <v>48</v>
      </c>
      <c r="O385" s="8" t="s">
        <v>1934</v>
      </c>
      <c r="P385" s="1" t="s">
        <v>965</v>
      </c>
      <c r="Q385" s="1"/>
      <c r="R385" s="2">
        <v>55901</v>
      </c>
      <c r="S385" s="2">
        <v>44.075285000000001</v>
      </c>
      <c r="T385" s="2">
        <v>-92.516915999999995</v>
      </c>
      <c r="U385" s="1"/>
      <c r="V385" s="1"/>
      <c r="W385" s="5"/>
      <c r="X385" s="1" t="s">
        <v>116</v>
      </c>
      <c r="Y385" s="1" t="s">
        <v>1935</v>
      </c>
      <c r="Z385" s="1" t="s">
        <v>1936</v>
      </c>
      <c r="AB385" s="1" t="s">
        <v>1937</v>
      </c>
      <c r="AC385" s="2" t="s">
        <v>120</v>
      </c>
      <c r="AD385" s="2">
        <f t="shared" si="5"/>
        <v>2019</v>
      </c>
    </row>
    <row r="386" spans="1:30" hidden="1">
      <c r="A386" s="2" t="s">
        <v>1719</v>
      </c>
      <c r="B386" s="3">
        <v>43732</v>
      </c>
      <c r="C386" s="1" t="s">
        <v>1938</v>
      </c>
      <c r="D386" s="1" t="s">
        <v>65</v>
      </c>
      <c r="E386" s="1" t="s">
        <v>66</v>
      </c>
      <c r="F386" s="1" t="s">
        <v>34</v>
      </c>
      <c r="G386" s="2" t="s">
        <v>1939</v>
      </c>
      <c r="H386" s="1" t="s">
        <v>101</v>
      </c>
      <c r="I386" s="6"/>
      <c r="J386" s="4">
        <v>120</v>
      </c>
      <c r="L386" s="4">
        <v>34000</v>
      </c>
      <c r="M386" s="1" t="s">
        <v>737</v>
      </c>
      <c r="N386" s="1" t="s">
        <v>300</v>
      </c>
      <c r="O386" s="1" t="s">
        <v>1940</v>
      </c>
      <c r="P386" s="1" t="s">
        <v>965</v>
      </c>
      <c r="Q386" s="1"/>
      <c r="R386" s="2">
        <v>55401</v>
      </c>
      <c r="S386" s="2">
        <v>44.984577000000002</v>
      </c>
      <c r="T386" s="2">
        <v>-93.269097000000002</v>
      </c>
      <c r="U386" s="1"/>
      <c r="V386" s="1"/>
      <c r="W386" s="5"/>
      <c r="X386" s="1"/>
      <c r="Y386" s="1" t="s">
        <v>1941</v>
      </c>
      <c r="Z386" s="1" t="s">
        <v>1942</v>
      </c>
      <c r="AA386" s="1" t="s">
        <v>961</v>
      </c>
      <c r="AB386" s="1"/>
      <c r="AC386" s="2" t="s">
        <v>51</v>
      </c>
      <c r="AD386" s="2">
        <f t="shared" ref="AD386:AD449" si="6">YEAR(B386)</f>
        <v>2019</v>
      </c>
    </row>
    <row r="387" spans="1:30" hidden="1">
      <c r="A387" s="2" t="s">
        <v>1719</v>
      </c>
      <c r="B387" s="3">
        <v>43732</v>
      </c>
      <c r="C387" s="1" t="s">
        <v>1943</v>
      </c>
      <c r="D387" s="1" t="s">
        <v>99</v>
      </c>
      <c r="E387" s="1" t="s">
        <v>677</v>
      </c>
      <c r="F387" s="1" t="s">
        <v>34</v>
      </c>
      <c r="G387" s="2" t="s">
        <v>1944</v>
      </c>
      <c r="H387" s="1" t="s">
        <v>48</v>
      </c>
      <c r="I387" s="6">
        <v>16000000</v>
      </c>
      <c r="J387" s="4"/>
      <c r="L387" s="4">
        <v>210000</v>
      </c>
      <c r="M387" s="1" t="s">
        <v>93</v>
      </c>
      <c r="N387" s="1" t="s">
        <v>48</v>
      </c>
      <c r="O387" s="1" t="s">
        <v>1945</v>
      </c>
      <c r="P387" s="1" t="s">
        <v>647</v>
      </c>
      <c r="Q387" s="1"/>
      <c r="R387" s="2">
        <v>55303</v>
      </c>
      <c r="S387" s="2">
        <v>45.261099999999999</v>
      </c>
      <c r="T387" s="2">
        <v>-93.45</v>
      </c>
      <c r="U387" s="1" t="s">
        <v>60</v>
      </c>
      <c r="V387" s="1" t="s">
        <v>379</v>
      </c>
      <c r="W387" s="5">
        <v>972000</v>
      </c>
      <c r="X387" s="1"/>
      <c r="Y387" s="1" t="s">
        <v>1946</v>
      </c>
      <c r="Z387" s="1" t="s">
        <v>1501</v>
      </c>
      <c r="AA387" s="1" t="s">
        <v>34</v>
      </c>
      <c r="AB387" s="1"/>
      <c r="AC387" s="2" t="s">
        <v>51</v>
      </c>
      <c r="AD387" s="2">
        <f t="shared" si="6"/>
        <v>2019</v>
      </c>
    </row>
    <row r="388" spans="1:30" hidden="1">
      <c r="A388" s="2" t="s">
        <v>1947</v>
      </c>
      <c r="B388" s="42">
        <v>43739</v>
      </c>
      <c r="C388" s="145" t="s">
        <v>1948</v>
      </c>
      <c r="D388" s="2" t="s">
        <v>1205</v>
      </c>
      <c r="E388" s="2" t="s">
        <v>1572</v>
      </c>
      <c r="F388" s="1" t="s">
        <v>34</v>
      </c>
      <c r="G388" s="2" t="s">
        <v>1949</v>
      </c>
      <c r="H388" s="2" t="s">
        <v>48</v>
      </c>
      <c r="I388" s="11">
        <v>100000000</v>
      </c>
      <c r="M388" s="1" t="s">
        <v>47</v>
      </c>
      <c r="N388" s="2" t="s">
        <v>48</v>
      </c>
      <c r="O388" s="7" t="s">
        <v>1950</v>
      </c>
      <c r="Q388" s="2" t="s">
        <v>1951</v>
      </c>
      <c r="R388" s="2">
        <v>56031</v>
      </c>
      <c r="S388" s="2">
        <v>43.672626000000001</v>
      </c>
      <c r="T388" s="2">
        <v>-94.510187999999999</v>
      </c>
      <c r="W388" s="11"/>
      <c r="Y388" s="2" t="s">
        <v>1948</v>
      </c>
      <c r="Z388" s="90" t="s">
        <v>1952</v>
      </c>
      <c r="AA388" s="1" t="s">
        <v>34</v>
      </c>
      <c r="AC388" s="2" t="s">
        <v>120</v>
      </c>
      <c r="AD388" s="2">
        <f t="shared" si="6"/>
        <v>2019</v>
      </c>
    </row>
    <row r="389" spans="1:30" hidden="1">
      <c r="A389" s="2" t="s">
        <v>1947</v>
      </c>
      <c r="B389" s="3">
        <v>43739</v>
      </c>
      <c r="C389" s="1" t="s">
        <v>1953</v>
      </c>
      <c r="D389" s="1" t="s">
        <v>96</v>
      </c>
      <c r="E389" s="1" t="s">
        <v>99</v>
      </c>
      <c r="F389" s="1" t="s">
        <v>34</v>
      </c>
      <c r="G389" s="2" t="s">
        <v>1954</v>
      </c>
      <c r="H389" s="1"/>
      <c r="I389" s="6"/>
      <c r="J389" s="4">
        <v>100</v>
      </c>
      <c r="L389" s="4"/>
      <c r="M389" s="1" t="s">
        <v>85</v>
      </c>
      <c r="N389" s="1" t="s">
        <v>86</v>
      </c>
      <c r="O389" s="1" t="s">
        <v>1955</v>
      </c>
      <c r="P389" s="1" t="s">
        <v>1956</v>
      </c>
      <c r="Q389" s="1" t="s">
        <v>1957</v>
      </c>
      <c r="R389" s="2">
        <v>55102</v>
      </c>
      <c r="S389" s="2">
        <v>44.945642999999997</v>
      </c>
      <c r="T389" s="2">
        <v>-93.095778999999993</v>
      </c>
      <c r="U389" s="1"/>
      <c r="V389" s="1"/>
      <c r="W389" s="5"/>
      <c r="X389" s="1"/>
      <c r="Y389" s="1" t="s">
        <v>1958</v>
      </c>
      <c r="Z389" s="1" t="s">
        <v>773</v>
      </c>
      <c r="AA389" s="1" t="s">
        <v>774</v>
      </c>
      <c r="AB389" s="1"/>
      <c r="AC389" s="1" t="s">
        <v>51</v>
      </c>
      <c r="AD389" s="2">
        <f t="shared" si="6"/>
        <v>2019</v>
      </c>
    </row>
    <row r="390" spans="1:30" hidden="1">
      <c r="A390" s="2" t="s">
        <v>1947</v>
      </c>
      <c r="B390" s="3">
        <v>43745</v>
      </c>
      <c r="C390" s="1" t="s">
        <v>1959</v>
      </c>
      <c r="D390" s="1" t="s">
        <v>340</v>
      </c>
      <c r="E390" s="1" t="s">
        <v>66</v>
      </c>
      <c r="F390" s="1" t="s">
        <v>34</v>
      </c>
      <c r="G390" s="2" t="s">
        <v>1960</v>
      </c>
      <c r="H390" s="1" t="s">
        <v>46</v>
      </c>
      <c r="I390" s="9">
        <v>10000000</v>
      </c>
      <c r="J390" s="4"/>
      <c r="L390" s="4"/>
      <c r="M390" s="1" t="s">
        <v>226</v>
      </c>
      <c r="N390" s="1" t="s">
        <v>48</v>
      </c>
      <c r="O390" s="1" t="s">
        <v>1961</v>
      </c>
      <c r="P390" s="1" t="s">
        <v>285</v>
      </c>
      <c r="Q390" s="1" t="s">
        <v>1962</v>
      </c>
      <c r="R390" s="2">
        <v>55447</v>
      </c>
      <c r="S390" s="2">
        <v>45.008408000000003</v>
      </c>
      <c r="T390" s="2">
        <v>-93.464080999999993</v>
      </c>
      <c r="U390" s="1"/>
      <c r="V390" s="1"/>
      <c r="W390" s="5"/>
      <c r="X390" s="1"/>
      <c r="Y390" s="91"/>
      <c r="Z390" s="1"/>
      <c r="AA390" s="1"/>
      <c r="AB390" s="91"/>
      <c r="AC390" s="1" t="s">
        <v>51</v>
      </c>
      <c r="AD390" s="2">
        <f t="shared" si="6"/>
        <v>2019</v>
      </c>
    </row>
    <row r="391" spans="1:30" hidden="1">
      <c r="A391" s="2" t="s">
        <v>1947</v>
      </c>
      <c r="B391" s="3">
        <v>43746</v>
      </c>
      <c r="C391" s="1" t="s">
        <v>1963</v>
      </c>
      <c r="D391" s="1" t="s">
        <v>65</v>
      </c>
      <c r="E391" s="1" t="s">
        <v>66</v>
      </c>
      <c r="F391" s="1" t="s">
        <v>34</v>
      </c>
      <c r="G391" s="2" t="s">
        <v>1964</v>
      </c>
      <c r="H391" s="1"/>
      <c r="I391" s="6"/>
      <c r="J391" s="4">
        <v>150</v>
      </c>
      <c r="L391" s="4"/>
      <c r="M391" s="1" t="s">
        <v>390</v>
      </c>
      <c r="N391" s="1" t="s">
        <v>86</v>
      </c>
      <c r="O391" s="1" t="s">
        <v>1965</v>
      </c>
      <c r="P391" s="1" t="s">
        <v>965</v>
      </c>
      <c r="Q391" s="1" t="s">
        <v>1966</v>
      </c>
      <c r="R391" s="2">
        <v>55404</v>
      </c>
      <c r="S391" s="2">
        <v>44.962843999999997</v>
      </c>
      <c r="T391" s="2">
        <v>-93.276182000000006</v>
      </c>
      <c r="U391" s="1"/>
      <c r="V391" s="1"/>
      <c r="W391" s="5"/>
      <c r="X391" s="1"/>
      <c r="Y391" s="1" t="s">
        <v>1844</v>
      </c>
      <c r="Z391" s="1" t="s">
        <v>65</v>
      </c>
      <c r="AA391" s="1" t="s">
        <v>34</v>
      </c>
      <c r="AB391" s="1"/>
      <c r="AC391" s="1" t="s">
        <v>51</v>
      </c>
      <c r="AD391" s="2">
        <f t="shared" si="6"/>
        <v>2019</v>
      </c>
    </row>
    <row r="392" spans="1:30" hidden="1">
      <c r="A392" s="2" t="s">
        <v>1947</v>
      </c>
      <c r="B392" s="3">
        <v>43754</v>
      </c>
      <c r="C392" s="1" t="s">
        <v>1967</v>
      </c>
      <c r="D392" s="1" t="s">
        <v>1968</v>
      </c>
      <c r="E392" s="1" t="s">
        <v>99</v>
      </c>
      <c r="F392" s="1" t="s">
        <v>34</v>
      </c>
      <c r="G392" s="2" t="s">
        <v>1969</v>
      </c>
      <c r="H392" s="1" t="s">
        <v>46</v>
      </c>
      <c r="I392" s="6"/>
      <c r="J392" s="4"/>
      <c r="L392" s="4">
        <v>121000</v>
      </c>
      <c r="M392" s="1" t="s">
        <v>574</v>
      </c>
      <c r="N392" s="1" t="s">
        <v>48</v>
      </c>
      <c r="O392" s="8" t="s">
        <v>1970</v>
      </c>
      <c r="P392" s="1" t="s">
        <v>188</v>
      </c>
      <c r="Q392" s="1" t="s">
        <v>1971</v>
      </c>
      <c r="R392" s="2">
        <v>55127</v>
      </c>
      <c r="S392" s="2">
        <v>45.116875</v>
      </c>
      <c r="T392" s="2">
        <v>-93.054755</v>
      </c>
      <c r="U392" s="1"/>
      <c r="V392" s="1"/>
      <c r="W392" s="5"/>
      <c r="X392" s="1"/>
      <c r="Y392" s="1"/>
      <c r="Z392" s="1"/>
      <c r="AA392" s="1"/>
      <c r="AB392" s="1"/>
      <c r="AC392" s="1" t="s">
        <v>51</v>
      </c>
      <c r="AD392" s="2">
        <f t="shared" si="6"/>
        <v>2019</v>
      </c>
    </row>
    <row r="393" spans="1:30" hidden="1">
      <c r="A393" s="2" t="s">
        <v>1947</v>
      </c>
      <c r="B393" s="3">
        <v>43762</v>
      </c>
      <c r="C393" s="1" t="s">
        <v>1972</v>
      </c>
      <c r="D393" s="1" t="s">
        <v>544</v>
      </c>
      <c r="E393" s="1" t="s">
        <v>66</v>
      </c>
      <c r="F393" s="1" t="s">
        <v>34</v>
      </c>
      <c r="G393" s="2" t="s">
        <v>1973</v>
      </c>
      <c r="H393" s="1" t="s">
        <v>68</v>
      </c>
      <c r="I393" s="9"/>
      <c r="J393" s="4">
        <v>100</v>
      </c>
      <c r="L393" s="4"/>
      <c r="M393" s="1" t="s">
        <v>85</v>
      </c>
      <c r="N393" s="1" t="s">
        <v>86</v>
      </c>
      <c r="O393" s="1" t="s">
        <v>1974</v>
      </c>
      <c r="P393" s="1" t="s">
        <v>965</v>
      </c>
      <c r="Q393" s="1" t="s">
        <v>984</v>
      </c>
      <c r="R393" s="2">
        <v>55416</v>
      </c>
      <c r="S393" s="2">
        <v>44.966161999999997</v>
      </c>
      <c r="T393" s="2">
        <v>-93.345726999999997</v>
      </c>
      <c r="U393" s="1" t="s">
        <v>1975</v>
      </c>
      <c r="V393" s="1"/>
      <c r="W393" s="5"/>
      <c r="X393" s="1" t="s">
        <v>116</v>
      </c>
      <c r="Y393" s="1"/>
      <c r="Z393" s="1"/>
      <c r="AA393" s="1"/>
      <c r="AB393" s="1"/>
      <c r="AC393" s="1" t="s">
        <v>51</v>
      </c>
      <c r="AD393" s="2">
        <f t="shared" si="6"/>
        <v>2019</v>
      </c>
    </row>
    <row r="394" spans="1:30" hidden="1">
      <c r="A394" s="2" t="s">
        <v>1947</v>
      </c>
      <c r="B394" s="3">
        <v>43766</v>
      </c>
      <c r="C394" s="1" t="s">
        <v>1976</v>
      </c>
      <c r="D394" s="1" t="s">
        <v>96</v>
      </c>
      <c r="E394" s="1" t="s">
        <v>99</v>
      </c>
      <c r="F394" s="1" t="s">
        <v>34</v>
      </c>
      <c r="G394" s="2" t="s">
        <v>1977</v>
      </c>
      <c r="H394" s="1" t="s">
        <v>56</v>
      </c>
      <c r="I394" s="6">
        <v>50000000</v>
      </c>
      <c r="J394" s="4">
        <v>100</v>
      </c>
      <c r="L394" s="4">
        <v>60000</v>
      </c>
      <c r="M394" s="1" t="s">
        <v>167</v>
      </c>
      <c r="N394" s="1" t="s">
        <v>48</v>
      </c>
      <c r="O394" s="1" t="s">
        <v>1978</v>
      </c>
      <c r="P394" s="1" t="s">
        <v>965</v>
      </c>
      <c r="Q394" s="1" t="s">
        <v>1979</v>
      </c>
      <c r="R394" s="2">
        <v>55103</v>
      </c>
      <c r="S394" s="2">
        <v>44.961604999999999</v>
      </c>
      <c r="T394" s="2">
        <v>-93.099856000000003</v>
      </c>
      <c r="U394" s="1"/>
      <c r="V394" s="1"/>
      <c r="W394" s="5"/>
      <c r="X394" s="1"/>
      <c r="Y394" s="1" t="s">
        <v>1976</v>
      </c>
      <c r="Z394" s="1" t="s">
        <v>65</v>
      </c>
      <c r="AA394" s="1" t="s">
        <v>34</v>
      </c>
      <c r="AB394" s="1"/>
      <c r="AC394" s="1" t="s">
        <v>51</v>
      </c>
      <c r="AD394" s="2">
        <f t="shared" si="6"/>
        <v>2019</v>
      </c>
    </row>
    <row r="395" spans="1:30" hidden="1">
      <c r="A395" s="2" t="s">
        <v>1947</v>
      </c>
      <c r="B395" s="3">
        <v>43766</v>
      </c>
      <c r="C395" s="1" t="s">
        <v>1980</v>
      </c>
      <c r="D395" s="1" t="s">
        <v>1981</v>
      </c>
      <c r="E395" s="1" t="s">
        <v>54</v>
      </c>
      <c r="F395" s="1" t="s">
        <v>34</v>
      </c>
      <c r="G395" s="2" t="s">
        <v>1982</v>
      </c>
      <c r="H395" s="1" t="s">
        <v>48</v>
      </c>
      <c r="I395" s="6">
        <v>2800000</v>
      </c>
      <c r="J395" s="4"/>
      <c r="L395" s="4"/>
      <c r="M395" s="1" t="s">
        <v>125</v>
      </c>
      <c r="N395" s="1" t="s">
        <v>48</v>
      </c>
      <c r="O395" s="7" t="s">
        <v>1983</v>
      </c>
      <c r="P395" s="1" t="s">
        <v>647</v>
      </c>
      <c r="Q395" s="1"/>
      <c r="R395" s="2">
        <v>55322</v>
      </c>
      <c r="S395" s="2">
        <v>44.768900000000002</v>
      </c>
      <c r="T395" s="2">
        <v>-93.780600000000007</v>
      </c>
      <c r="U395" s="1"/>
      <c r="V395" s="1"/>
      <c r="W395" s="5"/>
      <c r="X395" s="1"/>
      <c r="Y395" s="1" t="s">
        <v>1980</v>
      </c>
      <c r="Z395" s="1" t="s">
        <v>1984</v>
      </c>
      <c r="AA395" s="1" t="s">
        <v>618</v>
      </c>
      <c r="AB395" s="1"/>
      <c r="AC395" s="1" t="s">
        <v>51</v>
      </c>
      <c r="AD395" s="2">
        <f t="shared" si="6"/>
        <v>2019</v>
      </c>
    </row>
    <row r="396" spans="1:30" hidden="1">
      <c r="A396" s="2" t="s">
        <v>1947</v>
      </c>
      <c r="B396" s="3">
        <v>43770</v>
      </c>
      <c r="C396" s="1" t="s">
        <v>1985</v>
      </c>
      <c r="D396" s="1" t="s">
        <v>1205</v>
      </c>
      <c r="E396" s="1" t="s">
        <v>1572</v>
      </c>
      <c r="F396" s="1" t="s">
        <v>34</v>
      </c>
      <c r="G396" s="2" t="s">
        <v>1986</v>
      </c>
      <c r="H396" s="1" t="s">
        <v>101</v>
      </c>
      <c r="I396" s="6"/>
      <c r="J396" s="4">
        <v>17</v>
      </c>
      <c r="L396" s="4"/>
      <c r="M396" s="1"/>
      <c r="N396" s="1" t="s">
        <v>384</v>
      </c>
      <c r="O396" s="7" t="s">
        <v>1987</v>
      </c>
      <c r="P396" s="1" t="s">
        <v>1372</v>
      </c>
      <c r="Q396" s="1" t="s">
        <v>1988</v>
      </c>
      <c r="R396" s="2">
        <v>56031</v>
      </c>
      <c r="S396" s="2">
        <v>43.655625999999998</v>
      </c>
      <c r="T396" s="2">
        <v>-94.451246999999995</v>
      </c>
      <c r="U396" s="1" t="s">
        <v>60</v>
      </c>
      <c r="V396" s="1" t="s">
        <v>287</v>
      </c>
      <c r="W396" s="5">
        <v>434075</v>
      </c>
      <c r="X396" s="1"/>
      <c r="Y396" s="1"/>
      <c r="Z396" s="1" t="s">
        <v>601</v>
      </c>
      <c r="AA396" s="1" t="s">
        <v>34</v>
      </c>
      <c r="AB396" s="1"/>
      <c r="AC396" s="2" t="s">
        <v>120</v>
      </c>
      <c r="AD396" s="2">
        <f t="shared" si="6"/>
        <v>2019</v>
      </c>
    </row>
    <row r="397" spans="1:30" hidden="1">
      <c r="A397" s="2" t="s">
        <v>1947</v>
      </c>
      <c r="B397" s="3">
        <v>43770</v>
      </c>
      <c r="C397" s="1" t="s">
        <v>1989</v>
      </c>
      <c r="D397" s="1" t="s">
        <v>1990</v>
      </c>
      <c r="E397" s="1" t="s">
        <v>1991</v>
      </c>
      <c r="F397" s="1" t="s">
        <v>34</v>
      </c>
      <c r="G397" s="2" t="s">
        <v>1992</v>
      </c>
      <c r="H397" s="1" t="s">
        <v>46</v>
      </c>
      <c r="I397" s="6">
        <v>5000000</v>
      </c>
      <c r="J397" s="4">
        <v>20</v>
      </c>
      <c r="L397" s="4"/>
      <c r="M397" s="1" t="s">
        <v>417</v>
      </c>
      <c r="N397" s="1" t="s">
        <v>48</v>
      </c>
      <c r="O397" s="1" t="s">
        <v>1993</v>
      </c>
      <c r="P397" s="1" t="s">
        <v>1994</v>
      </c>
      <c r="Q397" s="1" t="s">
        <v>1995</v>
      </c>
      <c r="R397" s="2">
        <v>56621</v>
      </c>
      <c r="S397" s="2">
        <v>47.522765999999997</v>
      </c>
      <c r="T397" s="2">
        <v>-95.423227999999995</v>
      </c>
      <c r="U397" s="1" t="s">
        <v>60</v>
      </c>
      <c r="V397" s="1" t="s">
        <v>287</v>
      </c>
      <c r="W397" s="5">
        <v>211850</v>
      </c>
      <c r="X397" s="1"/>
      <c r="Y397" s="1"/>
      <c r="Z397" s="1"/>
      <c r="AA397" s="1"/>
      <c r="AB397" s="1"/>
      <c r="AC397" s="1" t="s">
        <v>41</v>
      </c>
      <c r="AD397" s="2">
        <f t="shared" si="6"/>
        <v>2019</v>
      </c>
    </row>
    <row r="398" spans="1:30" hidden="1">
      <c r="A398" s="2" t="s">
        <v>1947</v>
      </c>
      <c r="B398" s="3">
        <v>43773</v>
      </c>
      <c r="C398" s="1" t="s">
        <v>1996</v>
      </c>
      <c r="D398" s="1" t="s">
        <v>90</v>
      </c>
      <c r="E398" s="1" t="s">
        <v>91</v>
      </c>
      <c r="F398" s="1" t="s">
        <v>34</v>
      </c>
      <c r="G398" s="2" t="s">
        <v>1997</v>
      </c>
      <c r="H398" s="1" t="s">
        <v>68</v>
      </c>
      <c r="I398" s="6"/>
      <c r="J398" s="4">
        <v>20</v>
      </c>
      <c r="L398" s="4"/>
      <c r="M398" s="1"/>
      <c r="N398" s="1" t="s">
        <v>253</v>
      </c>
      <c r="O398" s="1" t="s">
        <v>1998</v>
      </c>
      <c r="P398" s="1" t="s">
        <v>1593</v>
      </c>
      <c r="Q398" s="1" t="s">
        <v>1999</v>
      </c>
      <c r="R398" s="2">
        <v>55802</v>
      </c>
      <c r="S398" s="2">
        <v>46.782836000000003</v>
      </c>
      <c r="T398" s="2">
        <v>-92.104150000000004</v>
      </c>
      <c r="U398" s="1"/>
      <c r="V398" s="1"/>
      <c r="W398" s="5"/>
      <c r="X398" s="1" t="s">
        <v>116</v>
      </c>
      <c r="Y398" s="2" t="s">
        <v>2000</v>
      </c>
      <c r="Z398" s="1" t="s">
        <v>171</v>
      </c>
      <c r="AA398" s="1"/>
      <c r="AB398" s="29" t="s">
        <v>172</v>
      </c>
      <c r="AC398" s="1" t="s">
        <v>97</v>
      </c>
      <c r="AD398" s="2">
        <f t="shared" si="6"/>
        <v>2019</v>
      </c>
    </row>
    <row r="399" spans="1:30" hidden="1">
      <c r="A399" s="2" t="s">
        <v>1947</v>
      </c>
      <c r="B399" s="3">
        <v>43774</v>
      </c>
      <c r="C399" s="1" t="s">
        <v>2001</v>
      </c>
      <c r="D399" s="1" t="s">
        <v>415</v>
      </c>
      <c r="E399" s="1" t="s">
        <v>395</v>
      </c>
      <c r="F399" s="1" t="s">
        <v>34</v>
      </c>
      <c r="G399" s="2" t="s">
        <v>2002</v>
      </c>
      <c r="H399" s="1" t="s">
        <v>46</v>
      </c>
      <c r="I399" s="6"/>
      <c r="J399" s="4">
        <v>80</v>
      </c>
      <c r="L399" s="4"/>
      <c r="M399" s="1" t="s">
        <v>167</v>
      </c>
      <c r="N399" s="1" t="s">
        <v>48</v>
      </c>
      <c r="O399" s="1" t="s">
        <v>2003</v>
      </c>
      <c r="P399" s="1" t="s">
        <v>1372</v>
      </c>
      <c r="Q399" s="1" t="s">
        <v>2004</v>
      </c>
      <c r="R399" s="2">
        <v>56303</v>
      </c>
      <c r="S399" s="2">
        <v>45.559269999999998</v>
      </c>
      <c r="T399" s="2">
        <v>-94.249661000000003</v>
      </c>
      <c r="U399" s="1" t="s">
        <v>60</v>
      </c>
      <c r="V399" s="1" t="s">
        <v>1793</v>
      </c>
      <c r="W399" s="5">
        <v>350000</v>
      </c>
      <c r="X399" s="1"/>
      <c r="Y399" s="1"/>
      <c r="Z399" s="1"/>
      <c r="AA399" s="1"/>
      <c r="AB399" s="1"/>
      <c r="AC399" s="1" t="s">
        <v>41</v>
      </c>
      <c r="AD399" s="2">
        <f t="shared" si="6"/>
        <v>2019</v>
      </c>
    </row>
    <row r="400" spans="1:30" hidden="1">
      <c r="A400" s="2" t="s">
        <v>1947</v>
      </c>
      <c r="B400" s="3">
        <v>43774</v>
      </c>
      <c r="C400" s="1" t="s">
        <v>2005</v>
      </c>
      <c r="D400" s="1" t="s">
        <v>415</v>
      </c>
      <c r="E400" s="1" t="s">
        <v>395</v>
      </c>
      <c r="F400" s="1" t="s">
        <v>34</v>
      </c>
      <c r="G400" s="2" t="s">
        <v>2006</v>
      </c>
      <c r="H400" s="1" t="s">
        <v>272</v>
      </c>
      <c r="I400" s="6"/>
      <c r="J400" s="4">
        <v>60</v>
      </c>
      <c r="L400" s="4"/>
      <c r="M400" s="2" t="s">
        <v>684</v>
      </c>
      <c r="N400" s="1" t="s">
        <v>48</v>
      </c>
      <c r="O400" s="1" t="s">
        <v>2003</v>
      </c>
      <c r="P400" s="1" t="s">
        <v>1372</v>
      </c>
      <c r="Q400" s="1" t="s">
        <v>2007</v>
      </c>
      <c r="R400" s="2">
        <v>56303</v>
      </c>
      <c r="S400" s="44">
        <v>45.557330999999998</v>
      </c>
      <c r="T400" s="45">
        <v>-94.177407000000002</v>
      </c>
      <c r="U400" s="1" t="s">
        <v>60</v>
      </c>
      <c r="V400" s="1" t="s">
        <v>1793</v>
      </c>
      <c r="W400" s="5"/>
      <c r="X400" s="1"/>
      <c r="Y400" s="1"/>
      <c r="Z400" s="1"/>
      <c r="AA400" s="1"/>
      <c r="AB400" s="1"/>
      <c r="AC400" s="1" t="s">
        <v>41</v>
      </c>
      <c r="AD400" s="2">
        <f t="shared" si="6"/>
        <v>2019</v>
      </c>
    </row>
    <row r="401" spans="1:30" hidden="1">
      <c r="A401" s="2" t="s">
        <v>1947</v>
      </c>
      <c r="B401" s="3">
        <v>43774</v>
      </c>
      <c r="C401" s="1" t="s">
        <v>2008</v>
      </c>
      <c r="D401" s="1" t="s">
        <v>340</v>
      </c>
      <c r="E401" s="1" t="s">
        <v>66</v>
      </c>
      <c r="F401" s="1" t="s">
        <v>34</v>
      </c>
      <c r="G401" s="2" t="s">
        <v>2009</v>
      </c>
      <c r="H401" s="1" t="s">
        <v>48</v>
      </c>
      <c r="I401" s="6"/>
      <c r="J401" s="4"/>
      <c r="L401" s="4"/>
      <c r="M401" s="1" t="s">
        <v>93</v>
      </c>
      <c r="N401" s="1" t="s">
        <v>48</v>
      </c>
      <c r="O401" s="1" t="s">
        <v>2010</v>
      </c>
      <c r="P401" s="1" t="s">
        <v>1327</v>
      </c>
      <c r="Q401" s="1" t="s">
        <v>2011</v>
      </c>
      <c r="R401" s="2">
        <v>55442</v>
      </c>
      <c r="S401" s="2">
        <v>45.058950000000003</v>
      </c>
      <c r="T401" s="2">
        <v>-93.411677999999995</v>
      </c>
      <c r="U401" s="1"/>
      <c r="V401" s="1"/>
      <c r="W401" s="5"/>
      <c r="X401" s="1" t="s">
        <v>116</v>
      </c>
      <c r="Y401" s="1" t="s">
        <v>2012</v>
      </c>
      <c r="Z401" s="1" t="s">
        <v>2013</v>
      </c>
      <c r="AA401" s="1"/>
      <c r="AB401" s="1" t="s">
        <v>2014</v>
      </c>
      <c r="AC401" s="1" t="s">
        <v>51</v>
      </c>
      <c r="AD401" s="2">
        <f t="shared" si="6"/>
        <v>2019</v>
      </c>
    </row>
    <row r="402" spans="1:30" hidden="1">
      <c r="A402" s="2" t="s">
        <v>1947</v>
      </c>
      <c r="B402" s="3">
        <v>43777</v>
      </c>
      <c r="C402" s="1" t="s">
        <v>2015</v>
      </c>
      <c r="D402" s="1" t="s">
        <v>1741</v>
      </c>
      <c r="E402" s="1" t="s">
        <v>1253</v>
      </c>
      <c r="F402" s="1" t="s">
        <v>34</v>
      </c>
      <c r="G402" s="2" t="s">
        <v>2016</v>
      </c>
      <c r="H402" s="1" t="s">
        <v>48</v>
      </c>
      <c r="I402" s="9">
        <v>9500000</v>
      </c>
      <c r="J402" s="4">
        <v>100</v>
      </c>
      <c r="L402" s="4">
        <v>141289</v>
      </c>
      <c r="M402" s="1"/>
      <c r="N402" s="1" t="s">
        <v>384</v>
      </c>
      <c r="O402" s="1" t="s">
        <v>2017</v>
      </c>
      <c r="P402" s="1" t="s">
        <v>647</v>
      </c>
      <c r="Q402" s="1" t="s">
        <v>2018</v>
      </c>
      <c r="R402" s="2">
        <v>55060</v>
      </c>
      <c r="S402" s="2">
        <v>44.068030999999998</v>
      </c>
      <c r="T402" s="2">
        <v>-93.254171999999997</v>
      </c>
      <c r="U402" s="1"/>
      <c r="V402" s="1"/>
      <c r="W402" s="5"/>
      <c r="X402" s="1"/>
      <c r="Y402" s="1" t="s">
        <v>2015</v>
      </c>
      <c r="Z402" s="1" t="s">
        <v>65</v>
      </c>
      <c r="AA402" s="1" t="s">
        <v>34</v>
      </c>
      <c r="AB402" s="1"/>
      <c r="AC402" s="1" t="s">
        <v>120</v>
      </c>
      <c r="AD402" s="2">
        <f t="shared" si="6"/>
        <v>2019</v>
      </c>
    </row>
    <row r="403" spans="1:30" hidden="1">
      <c r="A403" s="2" t="s">
        <v>1947</v>
      </c>
      <c r="B403" s="3">
        <v>43780</v>
      </c>
      <c r="C403" s="1" t="s">
        <v>2019</v>
      </c>
      <c r="D403" s="1" t="s">
        <v>546</v>
      </c>
      <c r="E403" s="2" t="s">
        <v>74</v>
      </c>
      <c r="F403" s="1" t="s">
        <v>34</v>
      </c>
      <c r="G403" s="2" t="s">
        <v>2020</v>
      </c>
      <c r="H403" s="1" t="s">
        <v>46</v>
      </c>
      <c r="I403" s="6">
        <v>5800000</v>
      </c>
      <c r="J403" s="4"/>
      <c r="L403" s="4">
        <v>75000</v>
      </c>
      <c r="M403" s="1" t="s">
        <v>93</v>
      </c>
      <c r="N403" s="1" t="s">
        <v>48</v>
      </c>
      <c r="O403" s="1" t="s">
        <v>2021</v>
      </c>
      <c r="P403" s="1" t="s">
        <v>647</v>
      </c>
      <c r="Q403" s="1" t="s">
        <v>2022</v>
      </c>
      <c r="R403" s="2">
        <v>55044</v>
      </c>
      <c r="S403" s="2">
        <v>44.635733000000002</v>
      </c>
      <c r="T403" s="2">
        <v>-93.217464000000007</v>
      </c>
      <c r="U403" s="1"/>
      <c r="V403" s="1"/>
      <c r="W403" s="5"/>
      <c r="X403" s="1"/>
      <c r="Y403" s="1"/>
      <c r="Z403" s="1"/>
      <c r="AA403" s="1"/>
      <c r="AB403" s="1"/>
      <c r="AC403" s="1" t="s">
        <v>51</v>
      </c>
      <c r="AD403" s="2">
        <f t="shared" si="6"/>
        <v>2019</v>
      </c>
    </row>
    <row r="404" spans="1:30" hidden="1">
      <c r="A404" s="2" t="s">
        <v>1947</v>
      </c>
      <c r="B404" s="3">
        <v>43783</v>
      </c>
      <c r="C404" s="1" t="s">
        <v>499</v>
      </c>
      <c r="D404" s="1" t="s">
        <v>473</v>
      </c>
      <c r="E404" s="1" t="s">
        <v>474</v>
      </c>
      <c r="F404" s="1" t="s">
        <v>34</v>
      </c>
      <c r="G404" s="2" t="s">
        <v>2023</v>
      </c>
      <c r="H404" s="1" t="s">
        <v>48</v>
      </c>
      <c r="I404" s="6">
        <v>26000000</v>
      </c>
      <c r="J404" s="4">
        <v>200</v>
      </c>
      <c r="L404" s="4">
        <v>140000</v>
      </c>
      <c r="M404" s="1" t="s">
        <v>93</v>
      </c>
      <c r="N404" s="1" t="s">
        <v>48</v>
      </c>
      <c r="O404" s="1" t="s">
        <v>2024</v>
      </c>
      <c r="P404" s="1" t="s">
        <v>1956</v>
      </c>
      <c r="Q404" s="1" t="s">
        <v>501</v>
      </c>
      <c r="R404" s="2">
        <v>55355</v>
      </c>
      <c r="S404" s="2">
        <v>45.122737000000001</v>
      </c>
      <c r="T404" s="2">
        <v>-94.529860999999997</v>
      </c>
      <c r="U404" s="1"/>
      <c r="V404" s="1"/>
      <c r="W404" s="5"/>
      <c r="X404" s="1"/>
      <c r="Y404" s="1" t="s">
        <v>499</v>
      </c>
      <c r="Z404" s="1" t="s">
        <v>502</v>
      </c>
      <c r="AA404" s="1" t="s">
        <v>503</v>
      </c>
      <c r="AB404" s="1"/>
      <c r="AC404" s="1" t="s">
        <v>41</v>
      </c>
      <c r="AD404" s="2">
        <f t="shared" si="6"/>
        <v>2019</v>
      </c>
    </row>
    <row r="405" spans="1:30" hidden="1">
      <c r="A405" s="2" t="s">
        <v>1947</v>
      </c>
      <c r="B405" s="3">
        <v>43796</v>
      </c>
      <c r="C405" s="1" t="s">
        <v>2025</v>
      </c>
      <c r="D405" s="1" t="s">
        <v>2026</v>
      </c>
      <c r="E405" s="1" t="s">
        <v>2027</v>
      </c>
      <c r="F405" s="1" t="s">
        <v>34</v>
      </c>
      <c r="G405" s="2" t="s">
        <v>2028</v>
      </c>
      <c r="H405" s="1"/>
      <c r="I405" s="6">
        <v>5500000</v>
      </c>
      <c r="J405" s="4">
        <v>30</v>
      </c>
      <c r="L405" s="4">
        <v>65000</v>
      </c>
      <c r="M405" s="1"/>
      <c r="N405" s="1" t="s">
        <v>313</v>
      </c>
      <c r="O405" s="8" t="s">
        <v>2029</v>
      </c>
      <c r="P405" s="1" t="s">
        <v>965</v>
      </c>
      <c r="Q405" s="1" t="s">
        <v>2030</v>
      </c>
      <c r="R405" s="2">
        <v>56057</v>
      </c>
      <c r="S405" s="2">
        <v>44.381535999999997</v>
      </c>
      <c r="T405" s="2">
        <v>-93.740461999999994</v>
      </c>
      <c r="U405" s="1"/>
      <c r="V405" s="1"/>
      <c r="W405" s="5"/>
      <c r="X405" s="1"/>
      <c r="Y405" s="1"/>
      <c r="Z405" s="1" t="s">
        <v>340</v>
      </c>
      <c r="AA405" s="1" t="s">
        <v>34</v>
      </c>
      <c r="AB405" s="1"/>
      <c r="AC405" s="1" t="s">
        <v>120</v>
      </c>
      <c r="AD405" s="2">
        <f t="shared" si="6"/>
        <v>2019</v>
      </c>
    </row>
    <row r="406" spans="1:30" hidden="1">
      <c r="A406" s="2" t="s">
        <v>1947</v>
      </c>
      <c r="B406" s="3">
        <v>43798</v>
      </c>
      <c r="C406" s="1" t="s">
        <v>2031</v>
      </c>
      <c r="D406" s="1" t="s">
        <v>505</v>
      </c>
      <c r="E406" s="1" t="s">
        <v>335</v>
      </c>
      <c r="F406" s="1" t="s">
        <v>34</v>
      </c>
      <c r="G406" s="2" t="s">
        <v>2032</v>
      </c>
      <c r="H406" s="1" t="s">
        <v>621</v>
      </c>
      <c r="I406" s="9">
        <v>25000000</v>
      </c>
      <c r="J406" s="33"/>
      <c r="L406" s="4">
        <v>15000</v>
      </c>
      <c r="M406" s="1"/>
      <c r="N406" s="1" t="s">
        <v>37</v>
      </c>
      <c r="O406" s="8" t="s">
        <v>2033</v>
      </c>
      <c r="P406" s="1" t="s">
        <v>285</v>
      </c>
      <c r="Q406" s="1" t="s">
        <v>2034</v>
      </c>
      <c r="R406" s="2">
        <v>55379</v>
      </c>
      <c r="S406" s="2">
        <v>44.772181000000003</v>
      </c>
      <c r="T406" s="2">
        <v>-93.503124999999997</v>
      </c>
      <c r="U406" s="1"/>
      <c r="V406" s="1"/>
      <c r="W406" s="29"/>
      <c r="X406" s="1"/>
      <c r="Y406" s="1" t="s">
        <v>2035</v>
      </c>
      <c r="Z406" s="1" t="s">
        <v>65</v>
      </c>
      <c r="AA406" s="1" t="s">
        <v>34</v>
      </c>
      <c r="AB406" s="1"/>
      <c r="AC406" s="1" t="s">
        <v>51</v>
      </c>
      <c r="AD406" s="2">
        <f t="shared" si="6"/>
        <v>2019</v>
      </c>
    </row>
    <row r="407" spans="1:30" hidden="1">
      <c r="A407" s="2" t="s">
        <v>1947</v>
      </c>
      <c r="B407" s="3">
        <v>43800</v>
      </c>
      <c r="C407" s="1" t="s">
        <v>2036</v>
      </c>
      <c r="D407" s="1" t="s">
        <v>174</v>
      </c>
      <c r="E407" s="1" t="s">
        <v>66</v>
      </c>
      <c r="F407" s="1" t="s">
        <v>34</v>
      </c>
      <c r="G407" s="2" t="s">
        <v>2037</v>
      </c>
      <c r="H407" s="1" t="s">
        <v>554</v>
      </c>
      <c r="I407" s="6">
        <v>5500000</v>
      </c>
      <c r="J407" s="4"/>
      <c r="L407" s="4">
        <v>65274</v>
      </c>
      <c r="M407" s="1" t="s">
        <v>574</v>
      </c>
      <c r="N407" s="1" t="s">
        <v>48</v>
      </c>
      <c r="O407" s="8" t="s">
        <v>2038</v>
      </c>
      <c r="P407" s="1" t="s">
        <v>2039</v>
      </c>
      <c r="Q407" s="1" t="s">
        <v>2040</v>
      </c>
      <c r="R407" s="2">
        <v>55428</v>
      </c>
      <c r="S407" s="2">
        <v>45.088189999999997</v>
      </c>
      <c r="T407" s="2">
        <v>-93.399432000000004</v>
      </c>
      <c r="U407" s="1"/>
      <c r="V407" s="1"/>
      <c r="W407" s="5"/>
      <c r="X407" s="1"/>
      <c r="Y407" s="1"/>
      <c r="Z407" s="1"/>
      <c r="AA407" s="1"/>
      <c r="AB407" s="1"/>
      <c r="AC407" s="1" t="s">
        <v>51</v>
      </c>
      <c r="AD407" s="2">
        <f t="shared" si="6"/>
        <v>2019</v>
      </c>
    </row>
    <row r="408" spans="1:30" hidden="1">
      <c r="A408" s="2" t="s">
        <v>1947</v>
      </c>
      <c r="B408" s="3">
        <v>43803</v>
      </c>
      <c r="C408" s="1" t="s">
        <v>2041</v>
      </c>
      <c r="D408" s="1" t="s">
        <v>2042</v>
      </c>
      <c r="E408" s="1" t="s">
        <v>2042</v>
      </c>
      <c r="F408" s="1" t="s">
        <v>34</v>
      </c>
      <c r="G408" s="2" t="s">
        <v>2043</v>
      </c>
      <c r="H408" s="1" t="s">
        <v>48</v>
      </c>
      <c r="I408" s="6"/>
      <c r="J408" s="4" t="s">
        <v>2044</v>
      </c>
      <c r="L408" s="4"/>
      <c r="M408" s="1" t="s">
        <v>47</v>
      </c>
      <c r="N408" s="1" t="s">
        <v>48</v>
      </c>
      <c r="O408" s="7" t="s">
        <v>2045</v>
      </c>
      <c r="P408" s="1" t="s">
        <v>285</v>
      </c>
      <c r="Q408" s="1" t="s">
        <v>2046</v>
      </c>
      <c r="R408" s="2">
        <v>56164</v>
      </c>
      <c r="S408" s="2">
        <v>43.985351999999999</v>
      </c>
      <c r="T408" s="2">
        <v>-96.291901999999993</v>
      </c>
      <c r="U408" s="1"/>
      <c r="V408" s="1"/>
      <c r="W408" s="5"/>
      <c r="X408" s="1" t="s">
        <v>116</v>
      </c>
      <c r="Y408" s="1" t="s">
        <v>2041</v>
      </c>
      <c r="Z408" s="1" t="s">
        <v>2047</v>
      </c>
      <c r="AA408" s="1" t="s">
        <v>305</v>
      </c>
      <c r="AB408" s="1"/>
      <c r="AC408" s="1" t="s">
        <v>120</v>
      </c>
      <c r="AD408" s="2">
        <f t="shared" si="6"/>
        <v>2019</v>
      </c>
    </row>
    <row r="409" spans="1:30" hidden="1">
      <c r="A409" s="2" t="s">
        <v>1947</v>
      </c>
      <c r="B409" s="3">
        <v>43809</v>
      </c>
      <c r="C409" s="1" t="s">
        <v>2048</v>
      </c>
      <c r="D409" s="1" t="s">
        <v>415</v>
      </c>
      <c r="E409" s="1" t="s">
        <v>395</v>
      </c>
      <c r="F409" s="1" t="s">
        <v>34</v>
      </c>
      <c r="G409" s="2" t="s">
        <v>2049</v>
      </c>
      <c r="H409" s="1" t="s">
        <v>68</v>
      </c>
      <c r="I409" s="6">
        <v>1600000</v>
      </c>
      <c r="J409" s="4">
        <v>8</v>
      </c>
      <c r="L409" s="4"/>
      <c r="M409" s="1" t="s">
        <v>93</v>
      </c>
      <c r="N409" s="1" t="s">
        <v>48</v>
      </c>
      <c r="O409" s="2" t="s">
        <v>2050</v>
      </c>
      <c r="P409" s="1" t="s">
        <v>1372</v>
      </c>
      <c r="Q409" s="1" t="s">
        <v>2051</v>
      </c>
      <c r="R409" s="2">
        <v>56301</v>
      </c>
      <c r="S409" s="2">
        <v>45.550291000000001</v>
      </c>
      <c r="T409" s="2">
        <v>-94.189723000000001</v>
      </c>
      <c r="U409" s="1" t="s">
        <v>60</v>
      </c>
      <c r="V409" s="1" t="s">
        <v>1306</v>
      </c>
      <c r="W409" s="5">
        <v>120000</v>
      </c>
      <c r="X409" s="1"/>
      <c r="Y409" s="1"/>
      <c r="Z409" s="1"/>
      <c r="AA409" s="1"/>
      <c r="AB409" s="1"/>
      <c r="AC409" s="1" t="s">
        <v>41</v>
      </c>
      <c r="AD409" s="2">
        <f t="shared" si="6"/>
        <v>2019</v>
      </c>
    </row>
    <row r="410" spans="1:30" hidden="1">
      <c r="A410" s="2" t="s">
        <v>1947</v>
      </c>
      <c r="B410" s="3">
        <v>43809</v>
      </c>
      <c r="C410" s="1" t="s">
        <v>2052</v>
      </c>
      <c r="D410" s="1" t="s">
        <v>528</v>
      </c>
      <c r="E410" s="1" t="s">
        <v>66</v>
      </c>
      <c r="F410" s="1" t="s">
        <v>34</v>
      </c>
      <c r="G410" s="2" t="s">
        <v>2053</v>
      </c>
      <c r="H410" s="1" t="s">
        <v>48</v>
      </c>
      <c r="I410" s="10">
        <v>5452386</v>
      </c>
      <c r="J410" s="4">
        <v>12</v>
      </c>
      <c r="L410" s="4">
        <v>65000</v>
      </c>
      <c r="M410" s="1" t="s">
        <v>93</v>
      </c>
      <c r="N410" s="1" t="s">
        <v>48</v>
      </c>
      <c r="O410" s="2" t="s">
        <v>2050</v>
      </c>
      <c r="P410" s="1" t="s">
        <v>1372</v>
      </c>
      <c r="Q410" s="1"/>
      <c r="R410" s="2">
        <v>55917</v>
      </c>
      <c r="S410" s="2">
        <v>43.866630000000001</v>
      </c>
      <c r="T410" s="2">
        <v>-93.051029999999997</v>
      </c>
      <c r="U410" s="1" t="s">
        <v>60</v>
      </c>
      <c r="V410" s="1" t="s">
        <v>1306</v>
      </c>
      <c r="W410" s="5">
        <v>110619</v>
      </c>
      <c r="X410" s="1" t="s">
        <v>116</v>
      </c>
      <c r="Y410" s="1" t="s">
        <v>2054</v>
      </c>
      <c r="Z410" s="1" t="s">
        <v>2055</v>
      </c>
      <c r="AA410" s="1"/>
      <c r="AB410" s="1" t="s">
        <v>370</v>
      </c>
      <c r="AC410" s="1" t="s">
        <v>51</v>
      </c>
      <c r="AD410" s="2">
        <f t="shared" si="6"/>
        <v>2019</v>
      </c>
    </row>
    <row r="411" spans="1:30" hidden="1">
      <c r="A411" s="2" t="s">
        <v>1947</v>
      </c>
      <c r="B411" s="3">
        <v>43811</v>
      </c>
      <c r="C411" s="1" t="s">
        <v>2056</v>
      </c>
      <c r="D411" s="1" t="s">
        <v>2057</v>
      </c>
      <c r="E411" s="1" t="s">
        <v>2058</v>
      </c>
      <c r="F411" s="1" t="s">
        <v>34</v>
      </c>
      <c r="G411" s="2" t="s">
        <v>2059</v>
      </c>
      <c r="H411" s="1" t="s">
        <v>48</v>
      </c>
      <c r="I411" s="11"/>
      <c r="J411" s="4"/>
      <c r="L411" s="4"/>
      <c r="M411" s="1" t="s">
        <v>47</v>
      </c>
      <c r="N411" s="1" t="s">
        <v>48</v>
      </c>
      <c r="O411" s="1" t="s">
        <v>2060</v>
      </c>
      <c r="P411" s="1" t="s">
        <v>188</v>
      </c>
      <c r="Q411" s="1" t="s">
        <v>2061</v>
      </c>
      <c r="R411" s="2">
        <v>56208</v>
      </c>
      <c r="S411" s="2">
        <v>45.206899999999997</v>
      </c>
      <c r="T411" s="2">
        <v>-96.021585999999999</v>
      </c>
      <c r="U411" s="1"/>
      <c r="V411" s="1"/>
      <c r="W411" s="5"/>
      <c r="X411" s="1"/>
      <c r="Y411" s="1" t="s">
        <v>2056</v>
      </c>
      <c r="Z411" s="1" t="s">
        <v>960</v>
      </c>
      <c r="AA411" s="1" t="s">
        <v>961</v>
      </c>
      <c r="AB411" s="1"/>
      <c r="AC411" s="1" t="s">
        <v>41</v>
      </c>
      <c r="AD411" s="2">
        <f t="shared" si="6"/>
        <v>2019</v>
      </c>
    </row>
    <row r="412" spans="1:30" hidden="1">
      <c r="A412" s="2" t="s">
        <v>1947</v>
      </c>
      <c r="B412" s="3">
        <v>43815</v>
      </c>
      <c r="C412" s="1" t="s">
        <v>2062</v>
      </c>
      <c r="D412" s="1" t="s">
        <v>448</v>
      </c>
      <c r="E412" s="1" t="s">
        <v>66</v>
      </c>
      <c r="F412" s="1" t="s">
        <v>34</v>
      </c>
      <c r="G412" s="2" t="s">
        <v>2063</v>
      </c>
      <c r="H412" s="1" t="s">
        <v>153</v>
      </c>
      <c r="I412" s="6">
        <v>7297324</v>
      </c>
      <c r="J412" s="4">
        <v>20</v>
      </c>
      <c r="L412" s="4"/>
      <c r="M412" s="1" t="s">
        <v>154</v>
      </c>
      <c r="N412" s="1" t="s">
        <v>86</v>
      </c>
      <c r="O412" s="1"/>
      <c r="P412" s="2" t="s">
        <v>658</v>
      </c>
      <c r="Q412" s="1" t="s">
        <v>2064</v>
      </c>
      <c r="R412" s="2">
        <v>55344</v>
      </c>
      <c r="S412" s="2">
        <v>44.871343000000003</v>
      </c>
      <c r="T412" s="2">
        <v>-93.406326000000007</v>
      </c>
      <c r="U412" s="1" t="s">
        <v>60</v>
      </c>
      <c r="V412" s="1" t="s">
        <v>1306</v>
      </c>
      <c r="W412" s="5">
        <v>175000</v>
      </c>
      <c r="X412" s="1"/>
      <c r="Y412" s="1"/>
      <c r="Z412" s="1"/>
      <c r="AA412" s="1"/>
      <c r="AB412" s="1"/>
      <c r="AC412" s="1" t="s">
        <v>51</v>
      </c>
      <c r="AD412" s="2">
        <f t="shared" si="6"/>
        <v>2019</v>
      </c>
    </row>
    <row r="413" spans="1:30" hidden="1">
      <c r="A413" s="2" t="s">
        <v>1947</v>
      </c>
      <c r="B413" s="3">
        <v>43816</v>
      </c>
      <c r="C413" s="1" t="s">
        <v>600</v>
      </c>
      <c r="D413" s="1" t="s">
        <v>203</v>
      </c>
      <c r="E413" s="1" t="s">
        <v>74</v>
      </c>
      <c r="F413" s="1" t="s">
        <v>34</v>
      </c>
      <c r="G413" s="2" t="s">
        <v>2065</v>
      </c>
      <c r="H413" s="1" t="s">
        <v>68</v>
      </c>
      <c r="I413" s="6"/>
      <c r="J413" s="4">
        <v>100</v>
      </c>
      <c r="L413" s="4"/>
      <c r="M413" s="1"/>
      <c r="N413" s="1" t="s">
        <v>77</v>
      </c>
      <c r="O413" s="8" t="s">
        <v>2066</v>
      </c>
      <c r="P413" s="1" t="s">
        <v>965</v>
      </c>
      <c r="Q413" s="1" t="s">
        <v>1269</v>
      </c>
      <c r="R413" s="2">
        <v>55121</v>
      </c>
      <c r="S413" s="2">
        <v>44.855744000000001</v>
      </c>
      <c r="T413" s="2">
        <v>-93.161086999999995</v>
      </c>
      <c r="U413" s="1"/>
      <c r="V413" s="1"/>
      <c r="W413" s="5"/>
      <c r="X413" s="1"/>
      <c r="Y413" s="1"/>
      <c r="Z413" s="1"/>
      <c r="AA413" s="1"/>
      <c r="AB413" s="1"/>
      <c r="AC413" s="2" t="s">
        <v>51</v>
      </c>
      <c r="AD413" s="2">
        <f t="shared" si="6"/>
        <v>2019</v>
      </c>
    </row>
    <row r="414" spans="1:30" hidden="1">
      <c r="A414" s="2" t="s">
        <v>1947</v>
      </c>
      <c r="B414" s="42">
        <v>43826</v>
      </c>
      <c r="C414" s="2" t="s">
        <v>2067</v>
      </c>
      <c r="D414" s="2" t="s">
        <v>174</v>
      </c>
      <c r="E414" s="2" t="s">
        <v>66</v>
      </c>
      <c r="F414" s="1" t="s">
        <v>34</v>
      </c>
      <c r="G414" s="2" t="s">
        <v>2068</v>
      </c>
      <c r="I414" s="134">
        <v>2507852</v>
      </c>
      <c r="J414" s="5">
        <v>200</v>
      </c>
      <c r="L414" s="5">
        <v>85000</v>
      </c>
      <c r="M414" s="1" t="s">
        <v>167</v>
      </c>
      <c r="N414" s="2" t="s">
        <v>48</v>
      </c>
      <c r="O414" s="2" t="s">
        <v>2069</v>
      </c>
      <c r="P414" s="2" t="s">
        <v>2070</v>
      </c>
      <c r="Q414" s="154" t="s">
        <v>2071</v>
      </c>
      <c r="R414" s="2">
        <v>55455</v>
      </c>
      <c r="S414" s="2">
        <v>45.120949400000001</v>
      </c>
      <c r="T414" s="2">
        <v>-93.387634500000004</v>
      </c>
      <c r="AC414" s="2" t="s">
        <v>51</v>
      </c>
      <c r="AD414" s="2">
        <f t="shared" si="6"/>
        <v>2019</v>
      </c>
    </row>
    <row r="415" spans="1:30" hidden="1">
      <c r="A415" s="2" t="s">
        <v>2072</v>
      </c>
      <c r="B415" s="42">
        <v>43832</v>
      </c>
      <c r="C415" s="2" t="s">
        <v>2073</v>
      </c>
      <c r="D415" s="2" t="s">
        <v>591</v>
      </c>
      <c r="E415" s="2" t="s">
        <v>66</v>
      </c>
      <c r="F415" s="1" t="s">
        <v>34</v>
      </c>
      <c r="G415" s="2" t="s">
        <v>2074</v>
      </c>
      <c r="H415" s="2" t="s">
        <v>1359</v>
      </c>
      <c r="I415" s="11"/>
      <c r="N415" s="2" t="s">
        <v>69</v>
      </c>
      <c r="O415" s="2" t="s">
        <v>2075</v>
      </c>
      <c r="P415" s="2" t="s">
        <v>965</v>
      </c>
      <c r="Q415" s="2" t="s">
        <v>2076</v>
      </c>
      <c r="R415" s="2">
        <v>55305</v>
      </c>
      <c r="S415" s="2">
        <v>44.968696999999999</v>
      </c>
      <c r="T415" s="2">
        <v>-93.418535000000006</v>
      </c>
      <c r="AC415" s="2" t="s">
        <v>51</v>
      </c>
      <c r="AD415" s="2">
        <f t="shared" si="6"/>
        <v>2020</v>
      </c>
    </row>
    <row r="416" spans="1:30" hidden="1">
      <c r="A416" s="2" t="s">
        <v>2072</v>
      </c>
      <c r="B416" s="42">
        <v>43832</v>
      </c>
      <c r="C416" s="2" t="s">
        <v>2077</v>
      </c>
      <c r="D416" s="2" t="s">
        <v>65</v>
      </c>
      <c r="E416" s="2" t="s">
        <v>66</v>
      </c>
      <c r="F416" s="1" t="s">
        <v>34</v>
      </c>
      <c r="G416" s="2" t="s">
        <v>2078</v>
      </c>
      <c r="H416" s="2" t="s">
        <v>2079</v>
      </c>
      <c r="I416" s="11"/>
      <c r="J416" s="5">
        <v>300</v>
      </c>
      <c r="M416" s="2" t="s">
        <v>159</v>
      </c>
      <c r="N416" s="2" t="s">
        <v>86</v>
      </c>
      <c r="O416" s="2" t="s">
        <v>2080</v>
      </c>
      <c r="P416" s="2" t="s">
        <v>647</v>
      </c>
      <c r="Q416" s="2" t="s">
        <v>1386</v>
      </c>
      <c r="R416" s="2">
        <v>55413</v>
      </c>
      <c r="S416" s="2">
        <v>44.997838999999999</v>
      </c>
      <c r="T416" s="2">
        <v>-93.257377000000005</v>
      </c>
      <c r="Y416" s="2" t="s">
        <v>2077</v>
      </c>
      <c r="AA416" s="2" t="s">
        <v>2081</v>
      </c>
      <c r="AC416" s="2" t="s">
        <v>51</v>
      </c>
      <c r="AD416" s="2">
        <f t="shared" si="6"/>
        <v>2020</v>
      </c>
    </row>
    <row r="417" spans="1:30" hidden="1">
      <c r="A417" s="2" t="s">
        <v>2072</v>
      </c>
      <c r="B417" s="42">
        <v>43837</v>
      </c>
      <c r="C417" s="2" t="s">
        <v>2082</v>
      </c>
      <c r="D417" s="2" t="s">
        <v>528</v>
      </c>
      <c r="E417" s="2" t="s">
        <v>66</v>
      </c>
      <c r="F417" s="1" t="s">
        <v>34</v>
      </c>
      <c r="G417" s="2" t="s">
        <v>2083</v>
      </c>
      <c r="H417" s="2" t="s">
        <v>1879</v>
      </c>
      <c r="I417" s="11">
        <v>360000</v>
      </c>
      <c r="M417" s="2" t="s">
        <v>93</v>
      </c>
      <c r="N417" s="2" t="s">
        <v>313</v>
      </c>
      <c r="O417" s="2" t="s">
        <v>2084</v>
      </c>
      <c r="P417" s="2" t="s">
        <v>2085</v>
      </c>
      <c r="Q417" s="2" t="s">
        <v>2086</v>
      </c>
      <c r="R417" s="2">
        <v>55420</v>
      </c>
      <c r="S417" s="2">
        <v>44.834561000000001</v>
      </c>
      <c r="T417" s="2">
        <v>-93.305733000000004</v>
      </c>
      <c r="AC417" s="2" t="s">
        <v>51</v>
      </c>
      <c r="AD417" s="2">
        <f t="shared" si="6"/>
        <v>2020</v>
      </c>
    </row>
    <row r="418" spans="1:30" hidden="1">
      <c r="A418" s="2" t="s">
        <v>2072</v>
      </c>
      <c r="B418" s="42">
        <v>43840</v>
      </c>
      <c r="C418" s="2" t="s">
        <v>2087</v>
      </c>
      <c r="D418" s="2" t="s">
        <v>65</v>
      </c>
      <c r="E418" s="2" t="s">
        <v>66</v>
      </c>
      <c r="F418" s="1" t="s">
        <v>34</v>
      </c>
      <c r="G418" s="2" t="s">
        <v>2088</v>
      </c>
      <c r="H418" s="2" t="s">
        <v>2089</v>
      </c>
      <c r="I418" s="11"/>
      <c r="L418" s="5">
        <v>16406</v>
      </c>
      <c r="M418" s="2" t="s">
        <v>2090</v>
      </c>
      <c r="N418" s="2" t="s">
        <v>48</v>
      </c>
      <c r="O418" s="2" t="s">
        <v>2091</v>
      </c>
      <c r="P418" s="2" t="s">
        <v>647</v>
      </c>
      <c r="Q418" s="2" t="s">
        <v>2092</v>
      </c>
      <c r="R418" s="2">
        <v>55413</v>
      </c>
      <c r="S418" s="2">
        <v>45.001057000000003</v>
      </c>
      <c r="T418" s="2">
        <v>-93.250539000000003</v>
      </c>
      <c r="AC418" s="2" t="s">
        <v>51</v>
      </c>
      <c r="AD418" s="2">
        <f t="shared" si="6"/>
        <v>2020</v>
      </c>
    </row>
    <row r="419" spans="1:30" hidden="1">
      <c r="A419" s="2" t="s">
        <v>2072</v>
      </c>
      <c r="B419" s="42">
        <v>43843</v>
      </c>
      <c r="C419" s="2" t="s">
        <v>2093</v>
      </c>
      <c r="D419" s="2" t="s">
        <v>65</v>
      </c>
      <c r="E419" s="2" t="s">
        <v>66</v>
      </c>
      <c r="F419" s="1" t="s">
        <v>34</v>
      </c>
      <c r="G419" s="2" t="s">
        <v>2094</v>
      </c>
      <c r="H419" s="2" t="s">
        <v>2079</v>
      </c>
      <c r="I419" s="10"/>
      <c r="L419" s="5">
        <v>18000</v>
      </c>
      <c r="M419" s="1" t="s">
        <v>390</v>
      </c>
      <c r="N419" s="2" t="s">
        <v>86</v>
      </c>
      <c r="O419" s="2" t="s">
        <v>2095</v>
      </c>
      <c r="P419" s="2" t="s">
        <v>285</v>
      </c>
      <c r="Q419" s="2" t="s">
        <v>2096</v>
      </c>
      <c r="R419" s="2">
        <v>55401</v>
      </c>
      <c r="S419" s="2">
        <v>44.985550000000003</v>
      </c>
      <c r="T419" s="2">
        <v>-93.274319000000006</v>
      </c>
      <c r="AC419" s="2" t="s">
        <v>51</v>
      </c>
      <c r="AD419" s="2">
        <f t="shared" si="6"/>
        <v>2020</v>
      </c>
    </row>
    <row r="420" spans="1:30" hidden="1">
      <c r="A420" s="2" t="s">
        <v>2072</v>
      </c>
      <c r="B420" s="42">
        <v>43843</v>
      </c>
      <c r="C420" s="2" t="s">
        <v>2097</v>
      </c>
      <c r="D420" s="2" t="s">
        <v>1418</v>
      </c>
      <c r="E420" s="2" t="s">
        <v>1419</v>
      </c>
      <c r="F420" s="1" t="s">
        <v>34</v>
      </c>
      <c r="G420" s="2" t="s">
        <v>2098</v>
      </c>
      <c r="H420" s="2" t="s">
        <v>2099</v>
      </c>
      <c r="I420" s="11">
        <v>4300000</v>
      </c>
      <c r="J420" s="5">
        <v>15</v>
      </c>
      <c r="L420" s="5">
        <v>45917</v>
      </c>
      <c r="M420" s="2" t="s">
        <v>93</v>
      </c>
      <c r="N420" s="2" t="s">
        <v>48</v>
      </c>
      <c r="O420" s="2" t="s">
        <v>2100</v>
      </c>
      <c r="P420" s="2" t="s">
        <v>2101</v>
      </c>
      <c r="Q420" s="2" t="s">
        <v>2102</v>
      </c>
      <c r="R420" s="2">
        <v>56308</v>
      </c>
      <c r="S420" s="2">
        <v>45.859214999999999</v>
      </c>
      <c r="T420" s="2">
        <v>-95.401961</v>
      </c>
      <c r="U420" s="2" t="s">
        <v>60</v>
      </c>
      <c r="V420" s="2" t="s">
        <v>2103</v>
      </c>
      <c r="W420" s="2">
        <v>492000</v>
      </c>
      <c r="AC420" s="2" t="s">
        <v>41</v>
      </c>
      <c r="AD420" s="2">
        <f t="shared" si="6"/>
        <v>2020</v>
      </c>
    </row>
    <row r="421" spans="1:30" hidden="1">
      <c r="A421" s="2" t="s">
        <v>2072</v>
      </c>
      <c r="B421" s="42">
        <v>43844</v>
      </c>
      <c r="C421" s="2" t="s">
        <v>2104</v>
      </c>
      <c r="D421" s="2" t="s">
        <v>2105</v>
      </c>
      <c r="E421" s="2" t="s">
        <v>2106</v>
      </c>
      <c r="F421" s="1" t="s">
        <v>34</v>
      </c>
      <c r="G421" s="2" t="s">
        <v>2107</v>
      </c>
      <c r="H421" s="2" t="s">
        <v>2108</v>
      </c>
      <c r="I421" s="11">
        <v>70000000</v>
      </c>
      <c r="J421" s="5">
        <v>48</v>
      </c>
      <c r="L421" s="5">
        <v>120000</v>
      </c>
      <c r="M421" s="2" t="s">
        <v>2109</v>
      </c>
      <c r="N421" s="2" t="s">
        <v>37</v>
      </c>
      <c r="O421" s="2" t="s">
        <v>2110</v>
      </c>
      <c r="P421" s="2" t="s">
        <v>647</v>
      </c>
      <c r="Q421" s="2" t="s">
        <v>2111</v>
      </c>
      <c r="R421" s="2">
        <v>56482</v>
      </c>
      <c r="S421" s="2">
        <v>46.451236999999999</v>
      </c>
      <c r="T421" s="2">
        <v>-95.157936000000007</v>
      </c>
      <c r="AC421" s="2" t="s">
        <v>41</v>
      </c>
      <c r="AD421" s="2">
        <f t="shared" si="6"/>
        <v>2020</v>
      </c>
    </row>
    <row r="422" spans="1:30" hidden="1">
      <c r="A422" s="2" t="s">
        <v>2072</v>
      </c>
      <c r="B422" s="42">
        <v>43846</v>
      </c>
      <c r="C422" s="2" t="s">
        <v>2112</v>
      </c>
      <c r="D422" s="2" t="s">
        <v>2113</v>
      </c>
      <c r="E422" s="2" t="s">
        <v>99</v>
      </c>
      <c r="F422" s="1" t="s">
        <v>34</v>
      </c>
      <c r="G422" s="2" t="s">
        <v>2114</v>
      </c>
      <c r="H422" s="2" t="s">
        <v>2079</v>
      </c>
      <c r="I422" s="10"/>
      <c r="L422" s="5">
        <v>9500</v>
      </c>
      <c r="M422" s="2" t="s">
        <v>2115</v>
      </c>
      <c r="N422" s="2" t="s">
        <v>69</v>
      </c>
      <c r="O422" s="2" t="s">
        <v>2116</v>
      </c>
      <c r="P422" s="2" t="s">
        <v>965</v>
      </c>
      <c r="Q422" s="2" t="s">
        <v>2117</v>
      </c>
      <c r="R422" s="2">
        <v>55102</v>
      </c>
      <c r="S422" s="2">
        <v>44.946241999999998</v>
      </c>
      <c r="T422" s="2">
        <v>-93.117941999999999</v>
      </c>
      <c r="AC422" s="2" t="s">
        <v>51</v>
      </c>
      <c r="AD422" s="2">
        <f t="shared" si="6"/>
        <v>2020</v>
      </c>
    </row>
    <row r="423" spans="1:30" hidden="1">
      <c r="A423" s="2" t="s">
        <v>2072</v>
      </c>
      <c r="B423" s="42">
        <v>43847</v>
      </c>
      <c r="C423" s="2" t="s">
        <v>1883</v>
      </c>
      <c r="D423" s="2" t="s">
        <v>528</v>
      </c>
      <c r="E423" s="2" t="s">
        <v>66</v>
      </c>
      <c r="F423" s="1" t="s">
        <v>34</v>
      </c>
      <c r="G423" s="2" t="s">
        <v>2118</v>
      </c>
      <c r="H423" s="2" t="s">
        <v>1879</v>
      </c>
      <c r="I423" s="11">
        <v>611800</v>
      </c>
      <c r="M423" s="2" t="s">
        <v>450</v>
      </c>
      <c r="N423" s="2" t="s">
        <v>48</v>
      </c>
      <c r="O423" s="2" t="s">
        <v>2084</v>
      </c>
      <c r="P423" s="2" t="s">
        <v>2085</v>
      </c>
      <c r="Q423" s="2" t="s">
        <v>2119</v>
      </c>
      <c r="R423" s="2">
        <v>55431</v>
      </c>
      <c r="S423" s="2">
        <v>44.855772999999999</v>
      </c>
      <c r="T423" s="2">
        <v>-93.301001999999997</v>
      </c>
      <c r="AC423" s="2" t="s">
        <v>51</v>
      </c>
      <c r="AD423" s="2">
        <f t="shared" si="6"/>
        <v>2020</v>
      </c>
    </row>
    <row r="424" spans="1:30" hidden="1">
      <c r="A424" s="2" t="s">
        <v>2072</v>
      </c>
      <c r="B424" s="42">
        <v>43853</v>
      </c>
      <c r="C424" s="2" t="s">
        <v>2120</v>
      </c>
      <c r="D424" s="2" t="s">
        <v>65</v>
      </c>
      <c r="E424" s="2" t="s">
        <v>66</v>
      </c>
      <c r="F424" s="1" t="s">
        <v>34</v>
      </c>
      <c r="G424" s="2" t="s">
        <v>2121</v>
      </c>
      <c r="H424" s="2" t="s">
        <v>2079</v>
      </c>
      <c r="I424" s="11"/>
      <c r="J424" s="5">
        <v>10</v>
      </c>
      <c r="N424" s="2" t="s">
        <v>253</v>
      </c>
      <c r="O424" s="2" t="s">
        <v>2122</v>
      </c>
      <c r="P424" s="2" t="s">
        <v>1327</v>
      </c>
      <c r="R424" s="2">
        <v>55402</v>
      </c>
      <c r="S424" s="2">
        <v>44.975915000000001</v>
      </c>
      <c r="T424" s="2">
        <v>-93.271825000000007</v>
      </c>
      <c r="AC424" s="2" t="s">
        <v>51</v>
      </c>
      <c r="AD424" s="2">
        <f t="shared" si="6"/>
        <v>2020</v>
      </c>
    </row>
    <row r="425" spans="1:30" hidden="1">
      <c r="A425" s="42" t="s">
        <v>2072</v>
      </c>
      <c r="B425" s="42">
        <v>43858</v>
      </c>
      <c r="C425" s="2" t="s">
        <v>2123</v>
      </c>
      <c r="D425" s="2" t="s">
        <v>372</v>
      </c>
      <c r="E425" s="2" t="s">
        <v>373</v>
      </c>
      <c r="F425" s="1" t="s">
        <v>34</v>
      </c>
      <c r="G425" s="46" t="s">
        <v>2124</v>
      </c>
      <c r="I425" s="11">
        <v>404800</v>
      </c>
      <c r="J425" s="5">
        <v>18</v>
      </c>
      <c r="L425" s="5">
        <v>7800</v>
      </c>
      <c r="M425" s="2" t="s">
        <v>2090</v>
      </c>
      <c r="N425" s="2" t="s">
        <v>48</v>
      </c>
      <c r="O425" s="7" t="s">
        <v>2125</v>
      </c>
      <c r="P425" s="2" t="s">
        <v>2126</v>
      </c>
      <c r="R425" s="2">
        <v>56001</v>
      </c>
      <c r="S425" s="2">
        <v>44.128324999999997</v>
      </c>
      <c r="T425" s="2">
        <v>-93.978863000000004</v>
      </c>
      <c r="U425" s="2" t="s">
        <v>60</v>
      </c>
      <c r="V425" s="2" t="s">
        <v>2127</v>
      </c>
      <c r="W425" s="2">
        <v>202394</v>
      </c>
      <c r="AC425" s="2" t="s">
        <v>120</v>
      </c>
      <c r="AD425" s="2">
        <f t="shared" si="6"/>
        <v>2020</v>
      </c>
    </row>
    <row r="426" spans="1:30" hidden="1">
      <c r="A426" s="2" t="s">
        <v>2072</v>
      </c>
      <c r="B426" s="42">
        <v>43859</v>
      </c>
      <c r="C426" s="2" t="s">
        <v>2128</v>
      </c>
      <c r="D426" s="2" t="s">
        <v>515</v>
      </c>
      <c r="E426" s="2" t="s">
        <v>515</v>
      </c>
      <c r="F426" s="1" t="s">
        <v>34</v>
      </c>
      <c r="G426" s="2" t="s">
        <v>2129</v>
      </c>
      <c r="H426" s="2" t="s">
        <v>2130</v>
      </c>
      <c r="I426" s="11"/>
      <c r="J426" s="5">
        <v>15</v>
      </c>
      <c r="L426" s="5">
        <v>12000</v>
      </c>
      <c r="M426" s="2" t="s">
        <v>574</v>
      </c>
      <c r="N426" s="2" t="s">
        <v>48</v>
      </c>
      <c r="O426" s="2" t="s">
        <v>2131</v>
      </c>
      <c r="P426" s="2" t="s">
        <v>2132</v>
      </c>
      <c r="Q426" s="2" t="s">
        <v>2133</v>
      </c>
      <c r="R426" s="2">
        <v>55987</v>
      </c>
      <c r="S426" s="2">
        <v>44.055689999999998</v>
      </c>
      <c r="T426" s="2">
        <v>-91.668739000000002</v>
      </c>
      <c r="U426" s="2" t="s">
        <v>60</v>
      </c>
      <c r="V426" s="2" t="s">
        <v>2134</v>
      </c>
      <c r="W426" s="2">
        <v>250000</v>
      </c>
      <c r="AC426" s="2" t="s">
        <v>120</v>
      </c>
      <c r="AD426" s="2">
        <f t="shared" si="6"/>
        <v>2020</v>
      </c>
    </row>
    <row r="427" spans="1:30" hidden="1">
      <c r="A427" s="2" t="s">
        <v>2072</v>
      </c>
      <c r="B427" s="42">
        <v>43860</v>
      </c>
      <c r="C427" s="2" t="s">
        <v>2135</v>
      </c>
      <c r="D427" s="2" t="s">
        <v>2113</v>
      </c>
      <c r="E427" s="2" t="s">
        <v>99</v>
      </c>
      <c r="F427" s="1" t="s">
        <v>34</v>
      </c>
      <c r="G427" s="2" t="s">
        <v>2136</v>
      </c>
      <c r="H427" s="2" t="s">
        <v>2137</v>
      </c>
      <c r="I427" s="11">
        <v>6000000</v>
      </c>
      <c r="J427" s="5">
        <v>75</v>
      </c>
      <c r="L427" s="5">
        <v>50000</v>
      </c>
      <c r="M427" s="1" t="s">
        <v>167</v>
      </c>
      <c r="N427" s="2" t="s">
        <v>48</v>
      </c>
      <c r="O427" s="2" t="s">
        <v>2138</v>
      </c>
      <c r="P427" s="2" t="s">
        <v>2139</v>
      </c>
      <c r="Q427" s="2" t="s">
        <v>966</v>
      </c>
      <c r="R427" s="2">
        <v>55108</v>
      </c>
      <c r="S427" s="2">
        <v>44.972749999999998</v>
      </c>
      <c r="T427" s="2">
        <v>-93.168999999999997</v>
      </c>
      <c r="U427" s="2" t="s">
        <v>60</v>
      </c>
      <c r="V427" s="2" t="s">
        <v>2140</v>
      </c>
      <c r="W427" s="2">
        <v>1000000</v>
      </c>
      <c r="AC427" s="2" t="s">
        <v>51</v>
      </c>
      <c r="AD427" s="2">
        <f t="shared" si="6"/>
        <v>2020</v>
      </c>
    </row>
    <row r="428" spans="1:30" hidden="1">
      <c r="A428" s="2" t="s">
        <v>2072</v>
      </c>
      <c r="B428" s="42">
        <v>43860</v>
      </c>
      <c r="C428" s="2" t="s">
        <v>2141</v>
      </c>
      <c r="D428" s="2" t="s">
        <v>776</v>
      </c>
      <c r="E428" s="2" t="s">
        <v>66</v>
      </c>
      <c r="F428" s="1" t="s">
        <v>34</v>
      </c>
      <c r="G428" s="2" t="s">
        <v>2142</v>
      </c>
      <c r="H428" s="2" t="s">
        <v>1879</v>
      </c>
      <c r="I428" s="11"/>
      <c r="N428" s="2" t="s">
        <v>384</v>
      </c>
      <c r="O428" s="2" t="s">
        <v>2143</v>
      </c>
      <c r="P428" s="2" t="s">
        <v>647</v>
      </c>
      <c r="Q428" s="2" t="s">
        <v>2144</v>
      </c>
      <c r="R428" s="2">
        <v>55435</v>
      </c>
      <c r="S428" s="2">
        <v>44.882992999999999</v>
      </c>
      <c r="T428" s="2">
        <v>-93.321808000000004</v>
      </c>
      <c r="AC428" s="2" t="s">
        <v>51</v>
      </c>
      <c r="AD428" s="2">
        <f t="shared" si="6"/>
        <v>2020</v>
      </c>
    </row>
    <row r="429" spans="1:30" hidden="1">
      <c r="A429" s="2" t="s">
        <v>2072</v>
      </c>
      <c r="B429" s="42">
        <v>43860</v>
      </c>
      <c r="C429" s="2" t="s">
        <v>2145</v>
      </c>
      <c r="D429" s="2" t="s">
        <v>448</v>
      </c>
      <c r="E429" s="2" t="s">
        <v>66</v>
      </c>
      <c r="F429" s="1" t="s">
        <v>34</v>
      </c>
      <c r="G429" s="2" t="s">
        <v>2146</v>
      </c>
      <c r="I429" s="11"/>
      <c r="J429" s="5">
        <v>100</v>
      </c>
      <c r="M429" s="2" t="s">
        <v>2147</v>
      </c>
      <c r="N429" s="2" t="s">
        <v>48</v>
      </c>
      <c r="O429" s="2" t="s">
        <v>2148</v>
      </c>
      <c r="P429" s="2" t="s">
        <v>285</v>
      </c>
      <c r="Q429" s="2" t="s">
        <v>2149</v>
      </c>
      <c r="R429" s="2">
        <v>55344</v>
      </c>
      <c r="S429" s="2">
        <v>44.861035000000001</v>
      </c>
      <c r="T429" s="2">
        <v>-93.415170000000003</v>
      </c>
      <c r="AC429" s="2" t="s">
        <v>51</v>
      </c>
      <c r="AD429" s="2">
        <f t="shared" si="6"/>
        <v>2020</v>
      </c>
    </row>
    <row r="430" spans="1:30" hidden="1">
      <c r="A430" s="2" t="s">
        <v>2072</v>
      </c>
      <c r="B430" s="42">
        <v>43863</v>
      </c>
      <c r="C430" s="2" t="s">
        <v>2150</v>
      </c>
      <c r="D430" s="2" t="s">
        <v>2151</v>
      </c>
      <c r="E430" s="2" t="s">
        <v>2152</v>
      </c>
      <c r="F430" s="1" t="s">
        <v>34</v>
      </c>
      <c r="G430" s="2" t="s">
        <v>2153</v>
      </c>
      <c r="I430" s="11">
        <v>3830000</v>
      </c>
      <c r="J430" s="5">
        <v>12</v>
      </c>
      <c r="L430" s="5">
        <v>12600</v>
      </c>
      <c r="M430" s="2" t="s">
        <v>2154</v>
      </c>
      <c r="N430" s="2" t="s">
        <v>762</v>
      </c>
      <c r="O430" s="2" t="s">
        <v>2155</v>
      </c>
      <c r="P430" s="2" t="s">
        <v>2101</v>
      </c>
      <c r="Q430" s="2" t="s">
        <v>2156</v>
      </c>
      <c r="R430" s="2">
        <v>56545</v>
      </c>
      <c r="S430" s="2">
        <v>47.367494000000001</v>
      </c>
      <c r="T430" s="2">
        <v>-96.259542999999994</v>
      </c>
      <c r="U430" s="2" t="s">
        <v>60</v>
      </c>
      <c r="V430" s="2" t="s">
        <v>1576</v>
      </c>
      <c r="W430" s="2">
        <v>310000</v>
      </c>
      <c r="AC430" s="2" t="s">
        <v>97</v>
      </c>
      <c r="AD430" s="2">
        <f t="shared" si="6"/>
        <v>2020</v>
      </c>
    </row>
    <row r="431" spans="1:30" hidden="1">
      <c r="A431" s="2" t="s">
        <v>2072</v>
      </c>
      <c r="B431" s="42">
        <v>43867</v>
      </c>
      <c r="C431" s="2" t="s">
        <v>2157</v>
      </c>
      <c r="D431" s="2" t="s">
        <v>926</v>
      </c>
      <c r="E431" s="2" t="s">
        <v>335</v>
      </c>
      <c r="F431" s="1" t="s">
        <v>34</v>
      </c>
      <c r="G431" s="2" t="s">
        <v>2158</v>
      </c>
      <c r="H431" s="2" t="s">
        <v>2159</v>
      </c>
      <c r="I431" s="11">
        <v>6400000</v>
      </c>
      <c r="L431" s="5">
        <v>6500</v>
      </c>
      <c r="M431" s="1" t="s">
        <v>47</v>
      </c>
      <c r="N431" s="2" t="s">
        <v>48</v>
      </c>
      <c r="O431" s="2" t="s">
        <v>2160</v>
      </c>
      <c r="P431" s="2" t="s">
        <v>965</v>
      </c>
      <c r="Q431" s="2" t="s">
        <v>2161</v>
      </c>
      <c r="R431" s="2">
        <v>55378</v>
      </c>
      <c r="S431" s="2">
        <v>44.779409999999999</v>
      </c>
      <c r="T431" s="2">
        <v>-93.336274000000003</v>
      </c>
      <c r="AC431" s="2" t="s">
        <v>51</v>
      </c>
      <c r="AD431" s="2">
        <f t="shared" si="6"/>
        <v>2020</v>
      </c>
    </row>
    <row r="432" spans="1:30" ht="15.75" hidden="1">
      <c r="A432" s="42" t="s">
        <v>2072</v>
      </c>
      <c r="B432" s="42">
        <v>43868</v>
      </c>
      <c r="C432" s="2" t="s">
        <v>2162</v>
      </c>
      <c r="D432" s="2" t="s">
        <v>2163</v>
      </c>
      <c r="E432" s="2" t="s">
        <v>282</v>
      </c>
      <c r="F432" s="1" t="s">
        <v>34</v>
      </c>
      <c r="G432" s="46" t="s">
        <v>2164</v>
      </c>
      <c r="I432" s="156">
        <f>12350000+2525000</f>
        <v>14875000</v>
      </c>
      <c r="J432" s="5">
        <v>101</v>
      </c>
      <c r="M432" s="2" t="s">
        <v>2165</v>
      </c>
      <c r="N432" s="2" t="s">
        <v>48</v>
      </c>
      <c r="O432" s="7" t="s">
        <v>2166</v>
      </c>
      <c r="P432" s="2" t="s">
        <v>2167</v>
      </c>
      <c r="Q432" s="149" t="s">
        <v>2168</v>
      </c>
      <c r="R432" s="2">
        <v>55395</v>
      </c>
      <c r="S432" s="2">
        <v>44.960237999999997</v>
      </c>
      <c r="T432" s="2">
        <v>-94.053415999999999</v>
      </c>
      <c r="V432" s="2" t="s">
        <v>2169</v>
      </c>
      <c r="W432" s="29">
        <f>475000+250000+95811</f>
        <v>820811</v>
      </c>
      <c r="AC432" s="2" t="s">
        <v>41</v>
      </c>
      <c r="AD432" s="2">
        <f t="shared" si="6"/>
        <v>2020</v>
      </c>
    </row>
    <row r="433" spans="1:30" hidden="1">
      <c r="A433" s="2" t="s">
        <v>2072</v>
      </c>
      <c r="B433" s="42">
        <v>43874</v>
      </c>
      <c r="C433" s="2" t="s">
        <v>2170</v>
      </c>
      <c r="D433" s="2" t="s">
        <v>165</v>
      </c>
      <c r="E433" s="2" t="s">
        <v>66</v>
      </c>
      <c r="F433" s="1" t="s">
        <v>34</v>
      </c>
      <c r="G433" s="2" t="s">
        <v>2171</v>
      </c>
      <c r="H433" s="2" t="s">
        <v>2172</v>
      </c>
      <c r="I433" s="11">
        <v>13600000</v>
      </c>
      <c r="J433" s="5">
        <v>97</v>
      </c>
      <c r="M433" s="2" t="s">
        <v>450</v>
      </c>
      <c r="N433" s="2" t="s">
        <v>48</v>
      </c>
      <c r="O433" s="2" t="s">
        <v>2173</v>
      </c>
      <c r="P433" s="2" t="s">
        <v>2101</v>
      </c>
      <c r="Q433" s="2" t="s">
        <v>2174</v>
      </c>
      <c r="R433" s="2">
        <v>55369</v>
      </c>
      <c r="S433" s="2">
        <v>45.110351999999999</v>
      </c>
      <c r="T433" s="2">
        <v>-93.422068999999993</v>
      </c>
      <c r="V433" s="2" t="s">
        <v>1576</v>
      </c>
      <c r="W433" s="2">
        <v>600000</v>
      </c>
      <c r="X433" s="2" t="s">
        <v>116</v>
      </c>
      <c r="Y433" s="2" t="s">
        <v>2175</v>
      </c>
      <c r="Z433" s="2" t="s">
        <v>1826</v>
      </c>
      <c r="AA433" s="2" t="s">
        <v>2176</v>
      </c>
      <c r="AB433" s="2" t="s">
        <v>423</v>
      </c>
      <c r="AC433" s="2" t="s">
        <v>51</v>
      </c>
      <c r="AD433" s="2">
        <f t="shared" si="6"/>
        <v>2020</v>
      </c>
    </row>
    <row r="434" spans="1:30" hidden="1">
      <c r="A434" s="2" t="s">
        <v>2072</v>
      </c>
      <c r="B434" s="42">
        <v>43874</v>
      </c>
      <c r="C434" s="2" t="s">
        <v>2177</v>
      </c>
      <c r="D434" s="2" t="s">
        <v>1741</v>
      </c>
      <c r="E434" s="2" t="s">
        <v>1253</v>
      </c>
      <c r="F434" s="1" t="s">
        <v>34</v>
      </c>
      <c r="G434" s="2" t="s">
        <v>2178</v>
      </c>
      <c r="H434" s="2" t="s">
        <v>2137</v>
      </c>
      <c r="I434" s="11">
        <v>3000000</v>
      </c>
      <c r="J434" s="5">
        <v>150</v>
      </c>
      <c r="M434" s="2" t="s">
        <v>93</v>
      </c>
      <c r="N434" s="2" t="s">
        <v>48</v>
      </c>
      <c r="O434" s="2" t="s">
        <v>2179</v>
      </c>
      <c r="P434" s="2" t="s">
        <v>2180</v>
      </c>
      <c r="Q434" s="2" t="s">
        <v>2181</v>
      </c>
      <c r="R434" s="2">
        <v>55060</v>
      </c>
      <c r="S434" s="2">
        <v>44.064531000000002</v>
      </c>
      <c r="T434" s="2">
        <v>-93.254867000000004</v>
      </c>
      <c r="U434" s="2" t="s">
        <v>60</v>
      </c>
      <c r="V434" s="2" t="s">
        <v>1306</v>
      </c>
      <c r="W434" s="2">
        <v>400000</v>
      </c>
      <c r="AC434" s="2" t="s">
        <v>120</v>
      </c>
      <c r="AD434" s="2">
        <f t="shared" si="6"/>
        <v>2020</v>
      </c>
    </row>
    <row r="435" spans="1:30" hidden="1">
      <c r="A435" s="2" t="s">
        <v>2072</v>
      </c>
      <c r="B435" s="42">
        <v>43881</v>
      </c>
      <c r="C435" s="2" t="s">
        <v>2182</v>
      </c>
      <c r="D435" s="2" t="s">
        <v>2183</v>
      </c>
      <c r="E435" s="2" t="s">
        <v>1478</v>
      </c>
      <c r="F435" s="1" t="s">
        <v>34</v>
      </c>
      <c r="G435" s="2" t="s">
        <v>2184</v>
      </c>
      <c r="H435" s="2" t="s">
        <v>2185</v>
      </c>
      <c r="I435" s="11">
        <v>5500000</v>
      </c>
      <c r="J435" s="5">
        <v>4</v>
      </c>
      <c r="L435" s="5">
        <v>23000</v>
      </c>
      <c r="M435" s="1" t="s">
        <v>47</v>
      </c>
      <c r="N435" s="2" t="s">
        <v>48</v>
      </c>
      <c r="O435" s="2" t="s">
        <v>2186</v>
      </c>
      <c r="R435" s="2">
        <v>55939</v>
      </c>
      <c r="S435" s="2">
        <v>43.555199999999999</v>
      </c>
      <c r="T435" s="2">
        <v>-92.005300000000005</v>
      </c>
      <c r="U435" s="2" t="s">
        <v>60</v>
      </c>
      <c r="V435" s="2" t="s">
        <v>2187</v>
      </c>
      <c r="W435" s="2">
        <v>158619</v>
      </c>
      <c r="AC435" s="2" t="s">
        <v>120</v>
      </c>
      <c r="AD435" s="2">
        <f t="shared" si="6"/>
        <v>2020</v>
      </c>
    </row>
    <row r="436" spans="1:30" hidden="1">
      <c r="A436" s="2" t="s">
        <v>2072</v>
      </c>
      <c r="B436" s="42">
        <v>43888</v>
      </c>
      <c r="C436" s="2" t="s">
        <v>2188</v>
      </c>
      <c r="D436" s="2" t="s">
        <v>479</v>
      </c>
      <c r="E436" s="2" t="s">
        <v>74</v>
      </c>
      <c r="F436" s="1" t="s">
        <v>34</v>
      </c>
      <c r="G436" s="2" t="s">
        <v>2189</v>
      </c>
      <c r="H436" s="2" t="s">
        <v>2190</v>
      </c>
      <c r="I436" s="11">
        <v>10400000</v>
      </c>
      <c r="J436" s="5">
        <v>38</v>
      </c>
      <c r="L436" s="5">
        <v>14000</v>
      </c>
      <c r="M436" s="2" t="s">
        <v>450</v>
      </c>
      <c r="N436" s="2" t="s">
        <v>48</v>
      </c>
      <c r="O436" s="2" t="s">
        <v>2191</v>
      </c>
      <c r="P436" s="2" t="s">
        <v>2101</v>
      </c>
      <c r="Q436" s="2" t="s">
        <v>2192</v>
      </c>
      <c r="R436" s="2">
        <v>55057</v>
      </c>
      <c r="S436" s="2">
        <v>44.478098000000003</v>
      </c>
      <c r="T436" s="2">
        <v>-93.176745999999994</v>
      </c>
      <c r="U436" s="2" t="s">
        <v>60</v>
      </c>
      <c r="V436" s="2" t="s">
        <v>2193</v>
      </c>
      <c r="W436" s="2">
        <v>525000</v>
      </c>
      <c r="AC436" s="2" t="s">
        <v>51</v>
      </c>
      <c r="AD436" s="2">
        <f t="shared" si="6"/>
        <v>2020</v>
      </c>
    </row>
    <row r="437" spans="1:30" hidden="1">
      <c r="A437" s="2" t="s">
        <v>2072</v>
      </c>
      <c r="B437" s="42">
        <v>43888</v>
      </c>
      <c r="C437" s="2" t="s">
        <v>2194</v>
      </c>
      <c r="D437" s="1" t="s">
        <v>956</v>
      </c>
      <c r="E437" s="1" t="s">
        <v>1013</v>
      </c>
      <c r="F437" s="1" t="s">
        <v>34</v>
      </c>
      <c r="G437" s="2" t="s">
        <v>2195</v>
      </c>
      <c r="H437" s="2" t="s">
        <v>131</v>
      </c>
      <c r="I437" s="11"/>
      <c r="J437" s="5">
        <v>15</v>
      </c>
      <c r="M437" s="2" t="s">
        <v>684</v>
      </c>
      <c r="N437" s="1" t="s">
        <v>48</v>
      </c>
      <c r="O437" s="2" t="s">
        <v>2196</v>
      </c>
      <c r="Q437" s="2" t="s">
        <v>2197</v>
      </c>
      <c r="R437" s="2">
        <v>56073</v>
      </c>
      <c r="S437" s="2">
        <v>44.316923000000003</v>
      </c>
      <c r="T437" s="2">
        <v>-94.455939999999998</v>
      </c>
      <c r="AC437" s="2" t="s">
        <v>120</v>
      </c>
      <c r="AD437" s="2">
        <f t="shared" si="6"/>
        <v>2020</v>
      </c>
    </row>
    <row r="438" spans="1:30" hidden="1">
      <c r="A438" s="2" t="s">
        <v>2072</v>
      </c>
      <c r="B438" s="42">
        <v>43889</v>
      </c>
      <c r="C438" s="2" t="s">
        <v>2198</v>
      </c>
      <c r="D438" s="2" t="s">
        <v>65</v>
      </c>
      <c r="E438" s="2" t="s">
        <v>66</v>
      </c>
      <c r="F438" s="1" t="s">
        <v>34</v>
      </c>
      <c r="G438" s="2" t="s">
        <v>2199</v>
      </c>
      <c r="H438" s="2" t="s">
        <v>2200</v>
      </c>
      <c r="I438" s="11">
        <v>192000000</v>
      </c>
      <c r="M438" s="2" t="s">
        <v>2109</v>
      </c>
      <c r="N438" s="2" t="s">
        <v>37</v>
      </c>
      <c r="O438" s="2" t="s">
        <v>2201</v>
      </c>
      <c r="P438" s="2" t="s">
        <v>965</v>
      </c>
      <c r="Q438" s="2" t="s">
        <v>190</v>
      </c>
      <c r="R438" s="2">
        <v>55407</v>
      </c>
      <c r="S438" s="2">
        <v>44.954582000000002</v>
      </c>
      <c r="T438" s="2">
        <v>-93.261308999999997</v>
      </c>
      <c r="AC438" s="2" t="s">
        <v>51</v>
      </c>
      <c r="AD438" s="2">
        <f t="shared" si="6"/>
        <v>2020</v>
      </c>
    </row>
    <row r="439" spans="1:30" hidden="1">
      <c r="A439" s="2" t="s">
        <v>2072</v>
      </c>
      <c r="B439" s="42">
        <v>43889</v>
      </c>
      <c r="C439" s="2" t="s">
        <v>2202</v>
      </c>
      <c r="D439" s="2" t="s">
        <v>505</v>
      </c>
      <c r="E439" s="2" t="s">
        <v>335</v>
      </c>
      <c r="F439" s="1" t="s">
        <v>34</v>
      </c>
      <c r="G439" s="2" t="s">
        <v>2203</v>
      </c>
      <c r="H439" s="2" t="s">
        <v>2204</v>
      </c>
      <c r="I439" s="11">
        <f>1740000+1650000</f>
        <v>3390000</v>
      </c>
      <c r="J439" s="5">
        <v>50</v>
      </c>
      <c r="L439" s="5">
        <v>130000</v>
      </c>
      <c r="M439" s="2" t="s">
        <v>93</v>
      </c>
      <c r="N439" s="2" t="s">
        <v>48</v>
      </c>
      <c r="O439" s="2" t="s">
        <v>2205</v>
      </c>
      <c r="P439" s="2" t="s">
        <v>965</v>
      </c>
      <c r="Q439" s="2" t="s">
        <v>2206</v>
      </c>
      <c r="R439" s="2">
        <v>55379</v>
      </c>
      <c r="S439" s="2">
        <v>44.779909000000004</v>
      </c>
      <c r="T439" s="2">
        <v>-93.509482000000006</v>
      </c>
      <c r="V439" s="2" t="s">
        <v>2207</v>
      </c>
      <c r="W439" s="2">
        <v>460000</v>
      </c>
      <c r="AC439" s="2" t="s">
        <v>51</v>
      </c>
      <c r="AD439" s="2">
        <f t="shared" si="6"/>
        <v>2020</v>
      </c>
    </row>
    <row r="440" spans="1:30" hidden="1">
      <c r="A440" s="2" t="s">
        <v>2072</v>
      </c>
      <c r="B440" s="42">
        <v>43892</v>
      </c>
      <c r="C440" s="2" t="s">
        <v>2208</v>
      </c>
      <c r="D440" s="2" t="s">
        <v>528</v>
      </c>
      <c r="E440" s="2" t="s">
        <v>66</v>
      </c>
      <c r="F440" s="1" t="s">
        <v>34</v>
      </c>
      <c r="G440" s="2" t="s">
        <v>2209</v>
      </c>
      <c r="H440" s="2" t="s">
        <v>131</v>
      </c>
      <c r="I440" s="11">
        <v>254000</v>
      </c>
      <c r="M440" s="2" t="s">
        <v>450</v>
      </c>
      <c r="N440" s="2" t="s">
        <v>48</v>
      </c>
      <c r="O440" s="2" t="s">
        <v>2084</v>
      </c>
      <c r="P440" s="2" t="s">
        <v>2210</v>
      </c>
      <c r="Q440" s="2" t="s">
        <v>2211</v>
      </c>
      <c r="R440" s="2">
        <v>55425</v>
      </c>
      <c r="S440" s="2">
        <v>44.853470999999999</v>
      </c>
      <c r="T440" s="2">
        <v>-93.230999999999995</v>
      </c>
      <c r="AC440" s="2" t="s">
        <v>51</v>
      </c>
      <c r="AD440" s="2">
        <f t="shared" si="6"/>
        <v>2020</v>
      </c>
    </row>
    <row r="441" spans="1:30" hidden="1">
      <c r="A441" s="2" t="s">
        <v>2072</v>
      </c>
      <c r="B441" s="42">
        <v>43899</v>
      </c>
      <c r="C441" s="2" t="s">
        <v>2212</v>
      </c>
      <c r="D441" s="2" t="s">
        <v>1741</v>
      </c>
      <c r="E441" s="2" t="s">
        <v>1253</v>
      </c>
      <c r="F441" s="1" t="s">
        <v>34</v>
      </c>
      <c r="G441" s="2" t="s">
        <v>2213</v>
      </c>
      <c r="H441" s="2" t="s">
        <v>2214</v>
      </c>
      <c r="I441" s="11">
        <v>15000000</v>
      </c>
      <c r="J441" s="5">
        <v>50</v>
      </c>
      <c r="L441" s="5">
        <v>266000</v>
      </c>
      <c r="M441" s="2" t="s">
        <v>450</v>
      </c>
      <c r="N441" s="2" t="s">
        <v>48</v>
      </c>
      <c r="O441" s="2" t="s">
        <v>2215</v>
      </c>
      <c r="P441" s="2" t="s">
        <v>2216</v>
      </c>
      <c r="Q441" s="2" t="s">
        <v>2217</v>
      </c>
      <c r="R441" s="2">
        <v>55060</v>
      </c>
      <c r="S441" s="2">
        <v>44.085180000000001</v>
      </c>
      <c r="T441" s="2">
        <v>-93.262703999999999</v>
      </c>
      <c r="U441" s="2" t="s">
        <v>60</v>
      </c>
      <c r="V441" s="2" t="s">
        <v>2218</v>
      </c>
      <c r="W441" s="2">
        <v>386420</v>
      </c>
      <c r="X441" s="2" t="s">
        <v>116</v>
      </c>
      <c r="Y441" s="2" t="s">
        <v>2219</v>
      </c>
      <c r="AB441" s="2" t="s">
        <v>347</v>
      </c>
      <c r="AC441" s="2" t="s">
        <v>120</v>
      </c>
      <c r="AD441" s="2">
        <f t="shared" si="6"/>
        <v>2020</v>
      </c>
    </row>
    <row r="442" spans="1:30" hidden="1">
      <c r="A442" s="2" t="s">
        <v>2072</v>
      </c>
      <c r="B442" s="42">
        <v>43900</v>
      </c>
      <c r="C442" s="2" t="s">
        <v>2220</v>
      </c>
      <c r="D442" s="2" t="s">
        <v>1143</v>
      </c>
      <c r="E442" s="2" t="s">
        <v>907</v>
      </c>
      <c r="F442" s="1" t="s">
        <v>34</v>
      </c>
      <c r="G442" s="2" t="s">
        <v>2221</v>
      </c>
      <c r="I442" s="11">
        <v>15000000</v>
      </c>
      <c r="J442" s="5">
        <v>40</v>
      </c>
      <c r="M442" s="2" t="s">
        <v>154</v>
      </c>
      <c r="N442" s="2" t="s">
        <v>86</v>
      </c>
      <c r="O442" s="2" t="s">
        <v>2222</v>
      </c>
      <c r="P442" s="2" t="s">
        <v>965</v>
      </c>
      <c r="Q442" s="2" t="s">
        <v>2223</v>
      </c>
      <c r="R442" s="2">
        <v>56345</v>
      </c>
      <c r="S442" s="2">
        <v>46.018839</v>
      </c>
      <c r="T442" s="2">
        <v>-94.340798000000007</v>
      </c>
      <c r="AA442" s="2" t="s">
        <v>2224</v>
      </c>
      <c r="AB442" s="2" t="s">
        <v>2225</v>
      </c>
      <c r="AC442" s="2" t="s">
        <v>41</v>
      </c>
      <c r="AD442" s="2">
        <f t="shared" si="6"/>
        <v>2020</v>
      </c>
    </row>
    <row r="443" spans="1:30" hidden="1">
      <c r="A443" s="2" t="s">
        <v>2072</v>
      </c>
      <c r="B443" s="42">
        <v>43901</v>
      </c>
      <c r="C443" s="2" t="s">
        <v>2226</v>
      </c>
      <c r="D443" s="2" t="s">
        <v>65</v>
      </c>
      <c r="E443" s="2" t="s">
        <v>66</v>
      </c>
      <c r="F443" s="1" t="s">
        <v>34</v>
      </c>
      <c r="G443" s="2" t="s">
        <v>2227</v>
      </c>
      <c r="H443" s="2" t="s">
        <v>2079</v>
      </c>
      <c r="I443" s="10"/>
      <c r="J443" s="29" t="s">
        <v>2228</v>
      </c>
      <c r="M443" s="2" t="s">
        <v>85</v>
      </c>
      <c r="N443" s="2" t="s">
        <v>86</v>
      </c>
      <c r="O443" s="2" t="s">
        <v>2229</v>
      </c>
      <c r="P443" s="2" t="s">
        <v>285</v>
      </c>
      <c r="Q443" s="2" t="s">
        <v>2230</v>
      </c>
      <c r="R443" s="2">
        <v>55402</v>
      </c>
      <c r="S443" s="2">
        <v>44.978349999999999</v>
      </c>
      <c r="T443" s="2">
        <v>-93.268628000000007</v>
      </c>
      <c r="X443" s="2" t="s">
        <v>116</v>
      </c>
      <c r="AB443" s="2" t="s">
        <v>2014</v>
      </c>
      <c r="AC443" s="2" t="s">
        <v>51</v>
      </c>
      <c r="AD443" s="2">
        <f t="shared" si="6"/>
        <v>2020</v>
      </c>
    </row>
    <row r="444" spans="1:30" hidden="1">
      <c r="A444" s="2" t="s">
        <v>2072</v>
      </c>
      <c r="B444" s="42">
        <v>43903</v>
      </c>
      <c r="C444" s="2" t="s">
        <v>982</v>
      </c>
      <c r="D444" s="2" t="s">
        <v>65</v>
      </c>
      <c r="E444" s="2" t="s">
        <v>66</v>
      </c>
      <c r="F444" s="1" t="s">
        <v>34</v>
      </c>
      <c r="G444" s="2" t="s">
        <v>2231</v>
      </c>
      <c r="H444" s="2" t="s">
        <v>2079</v>
      </c>
      <c r="I444" s="11"/>
      <c r="L444" s="5">
        <v>53000</v>
      </c>
      <c r="M444" s="2" t="s">
        <v>2115</v>
      </c>
      <c r="N444" s="2" t="s">
        <v>69</v>
      </c>
      <c r="O444" s="2" t="s">
        <v>2232</v>
      </c>
      <c r="P444" s="2" t="s">
        <v>965</v>
      </c>
      <c r="Q444" s="2" t="s">
        <v>2233</v>
      </c>
      <c r="R444" s="2">
        <v>55403</v>
      </c>
      <c r="S444" s="2">
        <v>44.979579999999999</v>
      </c>
      <c r="T444" s="2">
        <v>-93.276090999999994</v>
      </c>
      <c r="AC444" s="2" t="s">
        <v>51</v>
      </c>
      <c r="AD444" s="2">
        <f t="shared" si="6"/>
        <v>2020</v>
      </c>
    </row>
    <row r="445" spans="1:30" hidden="1">
      <c r="A445" s="2" t="s">
        <v>2072</v>
      </c>
      <c r="B445" s="42">
        <v>43906</v>
      </c>
      <c r="C445" s="2" t="s">
        <v>442</v>
      </c>
      <c r="D445" s="2" t="s">
        <v>505</v>
      </c>
      <c r="E445" s="1" t="s">
        <v>335</v>
      </c>
      <c r="F445" s="1" t="s">
        <v>34</v>
      </c>
      <c r="G445" s="2" t="s">
        <v>2234</v>
      </c>
      <c r="H445" s="2" t="s">
        <v>2235</v>
      </c>
      <c r="I445" s="11"/>
      <c r="N445" s="2" t="s">
        <v>253</v>
      </c>
      <c r="O445" s="2" t="s">
        <v>2236</v>
      </c>
      <c r="P445" s="2" t="s">
        <v>285</v>
      </c>
      <c r="S445" s="2">
        <v>46.316133999999998</v>
      </c>
      <c r="T445" s="2">
        <v>-94.199479999999994</v>
      </c>
      <c r="Y445" s="1" t="s">
        <v>442</v>
      </c>
      <c r="Z445" s="1" t="s">
        <v>875</v>
      </c>
      <c r="AA445" s="1" t="s">
        <v>328</v>
      </c>
      <c r="AC445" s="2" t="s">
        <v>51</v>
      </c>
      <c r="AD445" s="2">
        <f t="shared" si="6"/>
        <v>2020</v>
      </c>
    </row>
    <row r="446" spans="1:30" hidden="1">
      <c r="A446" s="2" t="s">
        <v>2072</v>
      </c>
      <c r="B446" s="42">
        <v>43906</v>
      </c>
      <c r="C446" s="1" t="s">
        <v>1699</v>
      </c>
      <c r="D446" s="2" t="s">
        <v>448</v>
      </c>
      <c r="E446" s="2" t="s">
        <v>66</v>
      </c>
      <c r="F446" s="1" t="s">
        <v>34</v>
      </c>
      <c r="G446" s="2" t="s">
        <v>2237</v>
      </c>
      <c r="I446" s="11"/>
      <c r="J446" s="5">
        <v>130</v>
      </c>
      <c r="L446" s="5">
        <v>27000</v>
      </c>
      <c r="M446" s="2" t="s">
        <v>85</v>
      </c>
      <c r="N446" s="2" t="s">
        <v>86</v>
      </c>
      <c r="O446" s="2" t="s">
        <v>2238</v>
      </c>
      <c r="P446" s="2" t="s">
        <v>285</v>
      </c>
      <c r="Q446" s="2" t="s">
        <v>2239</v>
      </c>
      <c r="R446" s="2">
        <v>55347</v>
      </c>
      <c r="S446" s="2">
        <v>44.841734000000002</v>
      </c>
      <c r="T446" s="2">
        <v>-93.441980999999998</v>
      </c>
      <c r="U446" s="2" t="s">
        <v>143</v>
      </c>
      <c r="AC446" s="2" t="s">
        <v>51</v>
      </c>
      <c r="AD446" s="2">
        <f t="shared" si="6"/>
        <v>2020</v>
      </c>
    </row>
    <row r="447" spans="1:30" hidden="1">
      <c r="A447" s="2" t="s">
        <v>2072</v>
      </c>
      <c r="B447" s="42">
        <v>43914</v>
      </c>
      <c r="C447" s="2" t="s">
        <v>2240</v>
      </c>
      <c r="D447" s="2" t="s">
        <v>528</v>
      </c>
      <c r="E447" s="2" t="s">
        <v>66</v>
      </c>
      <c r="F447" s="1" t="s">
        <v>34</v>
      </c>
      <c r="G447" s="2" t="s">
        <v>2241</v>
      </c>
      <c r="H447" s="2" t="s">
        <v>2079</v>
      </c>
      <c r="I447" s="11">
        <v>591405</v>
      </c>
      <c r="M447" s="2" t="s">
        <v>2242</v>
      </c>
      <c r="N447" s="2" t="s">
        <v>313</v>
      </c>
      <c r="O447" s="2" t="s">
        <v>2084</v>
      </c>
      <c r="P447" s="2" t="s">
        <v>2210</v>
      </c>
      <c r="Q447" s="2" t="s">
        <v>2243</v>
      </c>
      <c r="R447" s="2">
        <v>55438</v>
      </c>
      <c r="S447" s="2">
        <v>44.852747000000001</v>
      </c>
      <c r="T447" s="2">
        <v>-93.356657999999996</v>
      </c>
      <c r="X447" s="2" t="s">
        <v>116</v>
      </c>
      <c r="Y447" s="2" t="s">
        <v>2240</v>
      </c>
      <c r="Z447" s="2" t="s">
        <v>2244</v>
      </c>
      <c r="AA447" s="2" t="s">
        <v>2245</v>
      </c>
      <c r="AB447" s="2" t="s">
        <v>172</v>
      </c>
      <c r="AC447" s="2" t="s">
        <v>51</v>
      </c>
      <c r="AD447" s="2">
        <f t="shared" si="6"/>
        <v>2020</v>
      </c>
    </row>
    <row r="448" spans="1:30" hidden="1">
      <c r="A448" s="2" t="s">
        <v>2072</v>
      </c>
      <c r="B448" s="42">
        <v>43916</v>
      </c>
      <c r="C448" s="2" t="s">
        <v>2246</v>
      </c>
      <c r="D448" s="2" t="s">
        <v>270</v>
      </c>
      <c r="E448" s="2" t="s">
        <v>99</v>
      </c>
      <c r="F448" s="1" t="s">
        <v>34</v>
      </c>
      <c r="G448" s="2" t="s">
        <v>2247</v>
      </c>
      <c r="I448" s="11"/>
      <c r="J448" s="5">
        <v>30</v>
      </c>
      <c r="L448" s="5">
        <v>30000</v>
      </c>
      <c r="M448" s="2" t="s">
        <v>93</v>
      </c>
      <c r="N448" s="2" t="s">
        <v>48</v>
      </c>
      <c r="O448" s="2" t="s">
        <v>2248</v>
      </c>
      <c r="P448" s="2" t="s">
        <v>285</v>
      </c>
      <c r="Q448" s="2" t="s">
        <v>2249</v>
      </c>
      <c r="R448" s="2">
        <v>55112</v>
      </c>
      <c r="S448" s="2">
        <v>45.072521000000002</v>
      </c>
      <c r="T448" s="2">
        <v>-93.182507999999999</v>
      </c>
      <c r="AC448" s="2" t="s">
        <v>51</v>
      </c>
      <c r="AD448" s="2">
        <f t="shared" si="6"/>
        <v>2020</v>
      </c>
    </row>
    <row r="449" spans="1:30" hidden="1">
      <c r="A449" s="2" t="s">
        <v>2072</v>
      </c>
      <c r="B449" s="42">
        <v>43916</v>
      </c>
      <c r="C449" s="2" t="s">
        <v>2250</v>
      </c>
      <c r="D449" s="2" t="s">
        <v>467</v>
      </c>
      <c r="E449" s="2" t="s">
        <v>468</v>
      </c>
      <c r="F449" s="1" t="s">
        <v>34</v>
      </c>
      <c r="G449" s="2" t="s">
        <v>2251</v>
      </c>
      <c r="H449" s="2" t="s">
        <v>2185</v>
      </c>
      <c r="I449" s="11">
        <v>550000</v>
      </c>
      <c r="J449" s="5" t="s">
        <v>2252</v>
      </c>
      <c r="L449" s="5">
        <v>100000</v>
      </c>
      <c r="M449" s="2" t="s">
        <v>450</v>
      </c>
      <c r="N449" s="2" t="s">
        <v>48</v>
      </c>
      <c r="O449" s="2" t="s">
        <v>2253</v>
      </c>
      <c r="P449" s="2" t="s">
        <v>2216</v>
      </c>
      <c r="Q449" s="2" t="s">
        <v>2254</v>
      </c>
      <c r="R449" s="2">
        <v>55021</v>
      </c>
      <c r="S449" s="2">
        <v>44.321629000000001</v>
      </c>
      <c r="T449" s="2">
        <v>-93.285443000000001</v>
      </c>
      <c r="U449" s="2" t="s">
        <v>60</v>
      </c>
      <c r="V449" s="2" t="s">
        <v>2255</v>
      </c>
      <c r="W449" s="2">
        <v>550000</v>
      </c>
      <c r="AC449" s="2" t="s">
        <v>120</v>
      </c>
      <c r="AD449" s="2">
        <f t="shared" si="6"/>
        <v>2020</v>
      </c>
    </row>
    <row r="450" spans="1:30" hidden="1">
      <c r="A450" s="2" t="s">
        <v>2072</v>
      </c>
      <c r="B450" s="42">
        <v>43917</v>
      </c>
      <c r="C450" s="2" t="s">
        <v>2256</v>
      </c>
      <c r="D450" s="2" t="s">
        <v>528</v>
      </c>
      <c r="E450" s="2" t="s">
        <v>66</v>
      </c>
      <c r="F450" s="1" t="s">
        <v>34</v>
      </c>
      <c r="G450" s="2" t="s">
        <v>2257</v>
      </c>
      <c r="H450" s="2" t="s">
        <v>2200</v>
      </c>
      <c r="I450" s="10">
        <v>930638</v>
      </c>
      <c r="L450" s="5">
        <v>1200</v>
      </c>
      <c r="M450" s="2" t="s">
        <v>450</v>
      </c>
      <c r="N450" s="2" t="s">
        <v>48</v>
      </c>
      <c r="O450" s="2" t="s">
        <v>2084</v>
      </c>
      <c r="P450" s="2" t="s">
        <v>2210</v>
      </c>
      <c r="Q450" s="2" t="s">
        <v>2258</v>
      </c>
      <c r="R450" s="2">
        <v>55435</v>
      </c>
      <c r="S450" s="2">
        <v>44.861038000000001</v>
      </c>
      <c r="T450" s="2">
        <v>-93.344408999999999</v>
      </c>
      <c r="AC450" s="2" t="s">
        <v>51</v>
      </c>
      <c r="AD450" s="2">
        <f t="shared" ref="AD450:AD513" si="7">YEAR(B450)</f>
        <v>2020</v>
      </c>
    </row>
    <row r="451" spans="1:30" hidden="1">
      <c r="A451" s="2" t="s">
        <v>2072</v>
      </c>
      <c r="B451" s="42">
        <v>43920</v>
      </c>
      <c r="C451" s="2" t="s">
        <v>2259</v>
      </c>
      <c r="D451" s="2" t="s">
        <v>528</v>
      </c>
      <c r="E451" s="2" t="s">
        <v>66</v>
      </c>
      <c r="F451" s="1" t="s">
        <v>34</v>
      </c>
      <c r="G451" s="2" t="s">
        <v>2260</v>
      </c>
      <c r="H451" s="2" t="s">
        <v>2079</v>
      </c>
      <c r="I451" s="11">
        <v>2200000</v>
      </c>
      <c r="M451" s="2" t="s">
        <v>85</v>
      </c>
      <c r="N451" s="2" t="s">
        <v>86</v>
      </c>
      <c r="O451" s="2" t="s">
        <v>2084</v>
      </c>
      <c r="P451" s="2" t="s">
        <v>2210</v>
      </c>
      <c r="Q451" s="2" t="s">
        <v>2261</v>
      </c>
      <c r="R451" s="2">
        <v>55425</v>
      </c>
      <c r="S451" s="2">
        <v>44.853777000000001</v>
      </c>
      <c r="T451" s="2">
        <v>-93.225229999999996</v>
      </c>
      <c r="AC451" s="2" t="s">
        <v>51</v>
      </c>
      <c r="AD451" s="2">
        <f t="shared" si="7"/>
        <v>2020</v>
      </c>
    </row>
    <row r="452" spans="1:30" hidden="1">
      <c r="A452" s="2" t="s">
        <v>2072</v>
      </c>
      <c r="B452" s="42">
        <v>43921</v>
      </c>
      <c r="C452" s="2" t="s">
        <v>2262</v>
      </c>
      <c r="D452" s="2" t="s">
        <v>732</v>
      </c>
      <c r="E452" s="2" t="s">
        <v>44</v>
      </c>
      <c r="F452" s="1" t="s">
        <v>34</v>
      </c>
      <c r="G452" s="2" t="s">
        <v>2263</v>
      </c>
      <c r="H452" s="2" t="s">
        <v>2214</v>
      </c>
      <c r="I452" s="11"/>
      <c r="J452" s="5">
        <v>400</v>
      </c>
      <c r="N452" s="2" t="s">
        <v>77</v>
      </c>
      <c r="O452" s="2" t="s">
        <v>2264</v>
      </c>
      <c r="Q452" s="2" t="s">
        <v>2265</v>
      </c>
      <c r="R452" s="2">
        <v>55115</v>
      </c>
      <c r="S452" s="2">
        <v>45.037547000000004</v>
      </c>
      <c r="T452" s="2">
        <v>-92.977635000000006</v>
      </c>
      <c r="AC452" s="2" t="s">
        <v>51</v>
      </c>
      <c r="AD452" s="2">
        <f t="shared" si="7"/>
        <v>2020</v>
      </c>
    </row>
    <row r="453" spans="1:30" hidden="1">
      <c r="A453" s="42" t="s">
        <v>2072</v>
      </c>
      <c r="B453" s="42">
        <v>43921</v>
      </c>
      <c r="C453" s="2" t="s">
        <v>2266</v>
      </c>
      <c r="D453" s="2" t="s">
        <v>1501</v>
      </c>
      <c r="E453" s="2" t="s">
        <v>677</v>
      </c>
      <c r="F453" s="1" t="s">
        <v>34</v>
      </c>
      <c r="G453" s="46" t="s">
        <v>2267</v>
      </c>
      <c r="I453" s="11">
        <v>757935</v>
      </c>
      <c r="M453" s="2" t="s">
        <v>2109</v>
      </c>
      <c r="N453" s="1" t="s">
        <v>37</v>
      </c>
      <c r="O453" s="7" t="s">
        <v>2268</v>
      </c>
      <c r="P453" s="2" t="s">
        <v>2269</v>
      </c>
      <c r="Q453" s="2" t="s">
        <v>2270</v>
      </c>
      <c r="R453" s="2">
        <v>55433</v>
      </c>
      <c r="S453" s="2">
        <v>45.185555999999998</v>
      </c>
      <c r="T453" s="2">
        <v>-93.367749000000003</v>
      </c>
      <c r="AC453" s="2" t="s">
        <v>51</v>
      </c>
      <c r="AD453" s="2">
        <f t="shared" si="7"/>
        <v>2020</v>
      </c>
    </row>
    <row r="454" spans="1:30" hidden="1">
      <c r="A454" s="2" t="s">
        <v>2072</v>
      </c>
      <c r="B454" s="42">
        <v>43921</v>
      </c>
      <c r="C454" s="2" t="s">
        <v>2271</v>
      </c>
      <c r="D454" s="2" t="s">
        <v>165</v>
      </c>
      <c r="E454" s="2" t="s">
        <v>66</v>
      </c>
      <c r="F454" s="1" t="s">
        <v>34</v>
      </c>
      <c r="G454" s="2" t="s">
        <v>2272</v>
      </c>
      <c r="H454" s="2" t="s">
        <v>2273</v>
      </c>
      <c r="I454" s="11">
        <v>9300000</v>
      </c>
      <c r="L454" s="5">
        <v>641750</v>
      </c>
      <c r="M454" s="2" t="s">
        <v>2109</v>
      </c>
      <c r="N454" s="2" t="s">
        <v>37</v>
      </c>
      <c r="O454" s="2" t="s">
        <v>2274</v>
      </c>
      <c r="P454" s="2" t="s">
        <v>965</v>
      </c>
      <c r="Q454" s="2" t="s">
        <v>2275</v>
      </c>
      <c r="R454" s="2">
        <v>55369</v>
      </c>
      <c r="S454" s="2">
        <v>45.136612999999997</v>
      </c>
      <c r="T454" s="2">
        <v>-93.480956000000006</v>
      </c>
      <c r="AC454" s="2" t="s">
        <v>51</v>
      </c>
      <c r="AD454" s="2">
        <f t="shared" si="7"/>
        <v>2020</v>
      </c>
    </row>
    <row r="455" spans="1:30" hidden="1">
      <c r="A455" s="42" t="s">
        <v>2276</v>
      </c>
      <c r="B455" s="42">
        <v>43922</v>
      </c>
      <c r="C455" s="2" t="s">
        <v>592</v>
      </c>
      <c r="D455" s="2" t="s">
        <v>203</v>
      </c>
      <c r="E455" s="2" t="s">
        <v>74</v>
      </c>
      <c r="F455" s="1" t="s">
        <v>34</v>
      </c>
      <c r="G455" s="2" t="s">
        <v>2277</v>
      </c>
      <c r="H455" s="2" t="s">
        <v>2214</v>
      </c>
      <c r="I455" s="11"/>
      <c r="J455" s="5">
        <v>50</v>
      </c>
      <c r="N455" s="2" t="s">
        <v>253</v>
      </c>
      <c r="O455" s="7" t="s">
        <v>2278</v>
      </c>
      <c r="P455" s="2" t="s">
        <v>965</v>
      </c>
      <c r="Q455" s="2" t="s">
        <v>595</v>
      </c>
      <c r="R455" s="2">
        <v>55121</v>
      </c>
      <c r="S455" s="2">
        <v>44.834387</v>
      </c>
      <c r="T455" s="2">
        <v>-93.139977000000002</v>
      </c>
      <c r="AC455" s="2" t="s">
        <v>51</v>
      </c>
      <c r="AD455" s="2">
        <f t="shared" si="7"/>
        <v>2020</v>
      </c>
    </row>
    <row r="456" spans="1:30" hidden="1">
      <c r="A456" s="42" t="s">
        <v>2276</v>
      </c>
      <c r="B456" s="42">
        <v>43927</v>
      </c>
      <c r="C456" s="2" t="s">
        <v>2279</v>
      </c>
      <c r="D456" s="1" t="s">
        <v>415</v>
      </c>
      <c r="E456" s="2" t="s">
        <v>952</v>
      </c>
      <c r="F456" s="1" t="s">
        <v>34</v>
      </c>
      <c r="G456" s="46" t="s">
        <v>2280</v>
      </c>
      <c r="H456" s="2" t="s">
        <v>131</v>
      </c>
      <c r="I456" s="11"/>
      <c r="M456" s="2" t="s">
        <v>226</v>
      </c>
      <c r="N456" s="2" t="s">
        <v>48</v>
      </c>
      <c r="O456" s="7" t="s">
        <v>2281</v>
      </c>
      <c r="P456" s="2" t="s">
        <v>285</v>
      </c>
      <c r="Q456" s="2" t="s">
        <v>2282</v>
      </c>
      <c r="R456" s="2">
        <v>56303</v>
      </c>
      <c r="S456" s="2">
        <v>45.563412</v>
      </c>
      <c r="T456" s="2">
        <v>-94.208725000000001</v>
      </c>
      <c r="AC456" s="2" t="s">
        <v>41</v>
      </c>
      <c r="AD456" s="2">
        <f t="shared" si="7"/>
        <v>2020</v>
      </c>
    </row>
    <row r="457" spans="1:30" hidden="1">
      <c r="A457" s="42" t="s">
        <v>2276</v>
      </c>
      <c r="B457" s="42">
        <v>43930</v>
      </c>
      <c r="C457" s="66" t="s">
        <v>2283</v>
      </c>
      <c r="D457" s="2" t="s">
        <v>65</v>
      </c>
      <c r="E457" s="2" t="s">
        <v>66</v>
      </c>
      <c r="F457" s="1" t="s">
        <v>34</v>
      </c>
      <c r="G457" s="46" t="s">
        <v>2284</v>
      </c>
      <c r="H457" s="2" t="s">
        <v>131</v>
      </c>
      <c r="I457" s="11"/>
      <c r="M457" s="1" t="s">
        <v>47</v>
      </c>
      <c r="N457" s="2" t="s">
        <v>48</v>
      </c>
      <c r="O457" s="82" t="s">
        <v>2285</v>
      </c>
      <c r="P457" s="1" t="s">
        <v>1327</v>
      </c>
      <c r="Q457" s="2" t="s">
        <v>2286</v>
      </c>
      <c r="R457" s="2">
        <v>55435</v>
      </c>
      <c r="S457" s="2">
        <v>44.861750999999998</v>
      </c>
      <c r="T457" s="2">
        <v>-93.330889999999997</v>
      </c>
      <c r="AC457" s="2" t="s">
        <v>51</v>
      </c>
      <c r="AD457" s="2">
        <f t="shared" si="7"/>
        <v>2020</v>
      </c>
    </row>
    <row r="458" spans="1:30" hidden="1">
      <c r="A458" s="42" t="s">
        <v>2276</v>
      </c>
      <c r="B458" s="42">
        <v>43931</v>
      </c>
      <c r="C458" s="2" t="s">
        <v>2287</v>
      </c>
      <c r="D458" s="2" t="s">
        <v>2288</v>
      </c>
      <c r="E458" s="2" t="s">
        <v>2289</v>
      </c>
      <c r="F458" s="1" t="s">
        <v>34</v>
      </c>
      <c r="G458" s="46" t="s">
        <v>2290</v>
      </c>
      <c r="H458" s="2" t="s">
        <v>131</v>
      </c>
      <c r="I458" s="11"/>
      <c r="M458" s="2" t="s">
        <v>574</v>
      </c>
      <c r="N458" s="2" t="s">
        <v>48</v>
      </c>
      <c r="O458" s="7" t="s">
        <v>2291</v>
      </c>
      <c r="P458" s="2" t="s">
        <v>2292</v>
      </c>
      <c r="Q458" s="149" t="s">
        <v>2293</v>
      </c>
      <c r="R458" s="2">
        <v>56265</v>
      </c>
      <c r="S458" s="2">
        <v>44.966360999999999</v>
      </c>
      <c r="T458" s="2">
        <v>-95.713960999999998</v>
      </c>
      <c r="AC458" s="2" t="s">
        <v>41</v>
      </c>
      <c r="AD458" s="2">
        <f t="shared" si="7"/>
        <v>2020</v>
      </c>
    </row>
    <row r="459" spans="1:30" hidden="1">
      <c r="A459" s="42" t="s">
        <v>2276</v>
      </c>
      <c r="B459" s="42">
        <v>43931</v>
      </c>
      <c r="C459" s="2" t="s">
        <v>2294</v>
      </c>
      <c r="D459" s="2" t="s">
        <v>591</v>
      </c>
      <c r="E459" s="2" t="s">
        <v>66</v>
      </c>
      <c r="F459" s="1" t="s">
        <v>34</v>
      </c>
      <c r="G459" s="46" t="s">
        <v>2295</v>
      </c>
      <c r="H459" s="2" t="s">
        <v>2079</v>
      </c>
      <c r="I459" s="10"/>
      <c r="J459" s="29">
        <v>11</v>
      </c>
      <c r="M459" s="2" t="s">
        <v>85</v>
      </c>
      <c r="N459" s="2" t="s">
        <v>86</v>
      </c>
      <c r="O459" s="7" t="s">
        <v>2296</v>
      </c>
      <c r="P459" s="2" t="s">
        <v>965</v>
      </c>
      <c r="Q459" s="149" t="s">
        <v>2297</v>
      </c>
      <c r="R459" s="2">
        <v>55343</v>
      </c>
      <c r="S459" s="2">
        <v>44.900334999999998</v>
      </c>
      <c r="T459" s="2">
        <v>-93.410771999999994</v>
      </c>
      <c r="AC459" s="2" t="s">
        <v>51</v>
      </c>
      <c r="AD459" s="2">
        <f t="shared" si="7"/>
        <v>2020</v>
      </c>
    </row>
    <row r="460" spans="1:30" hidden="1">
      <c r="A460" s="42" t="s">
        <v>2276</v>
      </c>
      <c r="B460" s="42">
        <v>43931</v>
      </c>
      <c r="C460" s="2" t="s">
        <v>2298</v>
      </c>
      <c r="D460" s="2" t="s">
        <v>2299</v>
      </c>
      <c r="E460" s="2" t="s">
        <v>66</v>
      </c>
      <c r="F460" s="1" t="s">
        <v>34</v>
      </c>
      <c r="G460" s="46" t="s">
        <v>2300</v>
      </c>
      <c r="I460" s="11"/>
      <c r="J460" s="5">
        <v>17</v>
      </c>
      <c r="M460" s="2" t="s">
        <v>85</v>
      </c>
      <c r="N460" s="2" t="s">
        <v>86</v>
      </c>
      <c r="O460" s="7" t="s">
        <v>2296</v>
      </c>
      <c r="P460" s="2" t="s">
        <v>965</v>
      </c>
      <c r="Q460" s="2" t="s">
        <v>2301</v>
      </c>
      <c r="R460" s="2">
        <v>55416</v>
      </c>
      <c r="S460" s="2">
        <v>44.966161999999997</v>
      </c>
      <c r="T460" s="2">
        <v>-93.345726999999997</v>
      </c>
      <c r="AC460" s="2" t="s">
        <v>51</v>
      </c>
      <c r="AD460" s="2">
        <f t="shared" si="7"/>
        <v>2020</v>
      </c>
    </row>
    <row r="461" spans="1:30" hidden="1">
      <c r="A461" s="42" t="s">
        <v>2276</v>
      </c>
      <c r="B461" s="42">
        <v>43931</v>
      </c>
      <c r="C461" s="2" t="s">
        <v>2302</v>
      </c>
      <c r="D461" s="2" t="s">
        <v>65</v>
      </c>
      <c r="E461" s="2" t="s">
        <v>66</v>
      </c>
      <c r="F461" s="1" t="s">
        <v>34</v>
      </c>
      <c r="G461" s="46" t="s">
        <v>2303</v>
      </c>
      <c r="H461" s="2" t="s">
        <v>2079</v>
      </c>
      <c r="I461" s="11"/>
      <c r="J461" s="5">
        <v>12</v>
      </c>
      <c r="M461" s="2" t="s">
        <v>85</v>
      </c>
      <c r="N461" s="2" t="s">
        <v>86</v>
      </c>
      <c r="O461" s="7" t="s">
        <v>2296</v>
      </c>
      <c r="P461" s="2" t="s">
        <v>965</v>
      </c>
      <c r="Q461" s="2" t="s">
        <v>2304</v>
      </c>
      <c r="R461" s="2">
        <v>55402</v>
      </c>
      <c r="S461" s="2">
        <v>44.978057</v>
      </c>
      <c r="T461" s="2">
        <v>-93.269656999999995</v>
      </c>
      <c r="AC461" s="2" t="s">
        <v>51</v>
      </c>
      <c r="AD461" s="2">
        <f t="shared" si="7"/>
        <v>2020</v>
      </c>
    </row>
    <row r="462" spans="1:30" hidden="1">
      <c r="A462" s="42" t="s">
        <v>2276</v>
      </c>
      <c r="B462" s="42">
        <v>43936</v>
      </c>
      <c r="C462" s="2" t="s">
        <v>2305</v>
      </c>
      <c r="D462" s="2" t="s">
        <v>99</v>
      </c>
      <c r="E462" s="2" t="s">
        <v>677</v>
      </c>
      <c r="F462" s="1" t="s">
        <v>34</v>
      </c>
      <c r="G462" s="46" t="s">
        <v>2306</v>
      </c>
      <c r="H462" s="2" t="s">
        <v>2214</v>
      </c>
      <c r="I462" s="11">
        <v>2500000</v>
      </c>
      <c r="L462" s="5">
        <v>61654</v>
      </c>
      <c r="M462" s="2" t="s">
        <v>2307</v>
      </c>
      <c r="N462" s="2" t="s">
        <v>48</v>
      </c>
      <c r="O462" s="7" t="s">
        <v>2308</v>
      </c>
      <c r="P462" s="2" t="s">
        <v>647</v>
      </c>
      <c r="Q462" s="2" t="s">
        <v>2309</v>
      </c>
      <c r="R462" s="2">
        <v>55303</v>
      </c>
      <c r="S462" s="2">
        <v>45.218119999999999</v>
      </c>
      <c r="T462" s="2">
        <v>-93.424746999999996</v>
      </c>
      <c r="AC462" s="2" t="s">
        <v>51</v>
      </c>
      <c r="AD462" s="2">
        <f t="shared" si="7"/>
        <v>2020</v>
      </c>
    </row>
    <row r="463" spans="1:30" hidden="1">
      <c r="A463" s="42" t="s">
        <v>2276</v>
      </c>
      <c r="B463" s="3">
        <v>43938</v>
      </c>
      <c r="C463" s="2" t="s">
        <v>2310</v>
      </c>
      <c r="D463" s="2" t="s">
        <v>515</v>
      </c>
      <c r="E463" s="2" t="s">
        <v>515</v>
      </c>
      <c r="F463" s="1" t="s">
        <v>34</v>
      </c>
      <c r="G463" s="2" t="s">
        <v>2311</v>
      </c>
      <c r="H463" s="2" t="s">
        <v>2312</v>
      </c>
      <c r="I463" s="135">
        <v>2987000</v>
      </c>
      <c r="J463" s="5">
        <v>117</v>
      </c>
      <c r="K463" s="2">
        <v>90</v>
      </c>
      <c r="M463" s="1" t="s">
        <v>417</v>
      </c>
      <c r="N463" s="2" t="s">
        <v>48</v>
      </c>
      <c r="O463" s="7" t="s">
        <v>2313</v>
      </c>
      <c r="P463" s="2" t="s">
        <v>2132</v>
      </c>
      <c r="Q463" s="47" t="s">
        <v>2314</v>
      </c>
      <c r="R463" s="2">
        <v>55987</v>
      </c>
      <c r="S463" s="2">
        <v>44.074401000000002</v>
      </c>
      <c r="T463" s="2">
        <v>-91.711625999999995</v>
      </c>
      <c r="U463" s="2" t="s">
        <v>378</v>
      </c>
      <c r="V463" s="2" t="s">
        <v>2315</v>
      </c>
      <c r="W463" s="136">
        <v>1100000</v>
      </c>
      <c r="AC463" s="2" t="s">
        <v>120</v>
      </c>
      <c r="AD463" s="2">
        <f t="shared" si="7"/>
        <v>2020</v>
      </c>
    </row>
    <row r="464" spans="1:30" hidden="1">
      <c r="A464" s="42" t="s">
        <v>2276</v>
      </c>
      <c r="B464" s="42">
        <v>43942</v>
      </c>
      <c r="C464" s="2" t="s">
        <v>2316</v>
      </c>
      <c r="D464" s="2" t="s">
        <v>174</v>
      </c>
      <c r="E464" s="2" t="s">
        <v>66</v>
      </c>
      <c r="F464" s="1" t="s">
        <v>34</v>
      </c>
      <c r="G464" s="46" t="s">
        <v>2317</v>
      </c>
      <c r="H464" s="2" t="s">
        <v>1024</v>
      </c>
      <c r="I464" s="11"/>
      <c r="L464" s="5">
        <v>156000</v>
      </c>
      <c r="M464" s="2" t="s">
        <v>93</v>
      </c>
      <c r="N464" s="2" t="s">
        <v>48</v>
      </c>
      <c r="O464" s="7" t="s">
        <v>2318</v>
      </c>
      <c r="P464" s="2" t="s">
        <v>647</v>
      </c>
      <c r="R464" s="2">
        <v>55443</v>
      </c>
      <c r="S464" s="2">
        <v>45.089511999999999</v>
      </c>
      <c r="T464" s="2">
        <v>-93.347307000000001</v>
      </c>
      <c r="X464" s="2" t="s">
        <v>2319</v>
      </c>
      <c r="Y464" s="2" t="s">
        <v>2316</v>
      </c>
      <c r="AB464" s="2" t="s">
        <v>757</v>
      </c>
      <c r="AC464" s="2" t="s">
        <v>51</v>
      </c>
      <c r="AD464" s="2">
        <f t="shared" si="7"/>
        <v>2020</v>
      </c>
    </row>
    <row r="465" spans="1:30" hidden="1">
      <c r="A465" s="42" t="s">
        <v>2276</v>
      </c>
      <c r="B465" s="42">
        <v>43942</v>
      </c>
      <c r="C465" s="2" t="s">
        <v>2320</v>
      </c>
      <c r="D465" s="2" t="s">
        <v>2321</v>
      </c>
      <c r="E465" s="2" t="s">
        <v>2322</v>
      </c>
      <c r="F465" s="1" t="s">
        <v>34</v>
      </c>
      <c r="G465" s="46" t="s">
        <v>2323</v>
      </c>
      <c r="H465" s="2" t="s">
        <v>131</v>
      </c>
      <c r="I465" s="11">
        <v>4126000</v>
      </c>
      <c r="J465" s="5">
        <v>84</v>
      </c>
      <c r="M465" s="2" t="s">
        <v>148</v>
      </c>
      <c r="N465" s="2" t="s">
        <v>48</v>
      </c>
      <c r="O465" s="7" t="s">
        <v>2324</v>
      </c>
      <c r="P465" s="2" t="s">
        <v>2325</v>
      </c>
      <c r="R465" s="2">
        <v>56229</v>
      </c>
      <c r="S465" s="2">
        <v>44.569560000000003</v>
      </c>
      <c r="T465" s="2">
        <v>-95.744921000000005</v>
      </c>
      <c r="AC465" s="2" t="s">
        <v>120</v>
      </c>
      <c r="AD465" s="2">
        <f t="shared" si="7"/>
        <v>2020</v>
      </c>
    </row>
    <row r="466" spans="1:30" hidden="1">
      <c r="A466" s="42" t="s">
        <v>2276</v>
      </c>
      <c r="B466" s="42">
        <v>43945</v>
      </c>
      <c r="C466" s="2" t="s">
        <v>2326</v>
      </c>
      <c r="D466" s="2" t="s">
        <v>1302</v>
      </c>
      <c r="E466" s="2" t="s">
        <v>66</v>
      </c>
      <c r="F466" s="1" t="s">
        <v>34</v>
      </c>
      <c r="G466" s="46" t="s">
        <v>2327</v>
      </c>
      <c r="H466" s="2" t="s">
        <v>1359</v>
      </c>
      <c r="I466" s="11">
        <v>1120000</v>
      </c>
      <c r="L466" s="5">
        <f>10000-8848</f>
        <v>1152</v>
      </c>
      <c r="M466" s="1" t="s">
        <v>294</v>
      </c>
      <c r="N466" s="2" t="s">
        <v>86</v>
      </c>
      <c r="O466" s="7" t="s">
        <v>2328</v>
      </c>
      <c r="P466" s="2" t="s">
        <v>647</v>
      </c>
      <c r="Q466" s="2" t="s">
        <v>2329</v>
      </c>
      <c r="R466" s="2">
        <v>55422</v>
      </c>
      <c r="S466" s="2">
        <v>44.983837999999999</v>
      </c>
      <c r="T466" s="2">
        <v>-93.339314000000002</v>
      </c>
      <c r="AC466" s="2" t="s">
        <v>51</v>
      </c>
      <c r="AD466" s="2">
        <f t="shared" si="7"/>
        <v>2020</v>
      </c>
    </row>
    <row r="467" spans="1:30" hidden="1">
      <c r="A467" s="42" t="s">
        <v>2276</v>
      </c>
      <c r="B467" s="42">
        <v>43951</v>
      </c>
      <c r="C467" s="2" t="s">
        <v>2330</v>
      </c>
      <c r="D467" s="2" t="s">
        <v>65</v>
      </c>
      <c r="E467" s="2" t="s">
        <v>66</v>
      </c>
      <c r="F467" s="1" t="s">
        <v>34</v>
      </c>
      <c r="G467" s="46" t="s">
        <v>2331</v>
      </c>
      <c r="H467" s="2" t="s">
        <v>2079</v>
      </c>
      <c r="I467" s="10"/>
      <c r="J467" s="29">
        <v>17</v>
      </c>
      <c r="M467" s="2" t="s">
        <v>85</v>
      </c>
      <c r="N467" s="2" t="s">
        <v>86</v>
      </c>
      <c r="O467" s="7" t="s">
        <v>2332</v>
      </c>
      <c r="P467" s="2" t="s">
        <v>2333</v>
      </c>
      <c r="Q467" s="149" t="s">
        <v>2334</v>
      </c>
      <c r="R467" s="2">
        <v>55415</v>
      </c>
      <c r="S467" s="2">
        <v>44.977995999999997</v>
      </c>
      <c r="T467" s="2">
        <v>-93.263401999999999</v>
      </c>
      <c r="AC467" s="2" t="s">
        <v>51</v>
      </c>
      <c r="AD467" s="2">
        <f t="shared" si="7"/>
        <v>2020</v>
      </c>
    </row>
    <row r="468" spans="1:30" hidden="1">
      <c r="A468" s="42" t="s">
        <v>2276</v>
      </c>
      <c r="B468" s="42">
        <v>43952</v>
      </c>
      <c r="C468" s="2" t="s">
        <v>2005</v>
      </c>
      <c r="D468" s="1" t="s">
        <v>415</v>
      </c>
      <c r="E468" s="1" t="s">
        <v>395</v>
      </c>
      <c r="F468" s="1" t="s">
        <v>34</v>
      </c>
      <c r="G468" s="46" t="s">
        <v>2335</v>
      </c>
      <c r="H468" s="2" t="s">
        <v>2336</v>
      </c>
      <c r="I468" s="11"/>
      <c r="J468" s="5">
        <v>10</v>
      </c>
      <c r="M468" s="2" t="s">
        <v>684</v>
      </c>
      <c r="N468" s="1" t="s">
        <v>48</v>
      </c>
      <c r="O468" s="7" t="s">
        <v>2337</v>
      </c>
      <c r="P468" s="2" t="s">
        <v>1470</v>
      </c>
      <c r="Q468" s="1" t="s">
        <v>2007</v>
      </c>
      <c r="R468" s="2">
        <v>56303</v>
      </c>
      <c r="S468" s="44">
        <v>45.557330999999998</v>
      </c>
      <c r="T468" s="45">
        <v>-94.177407000000002</v>
      </c>
      <c r="AC468" s="2" t="s">
        <v>41</v>
      </c>
      <c r="AD468" s="2">
        <f t="shared" si="7"/>
        <v>2020</v>
      </c>
    </row>
    <row r="469" spans="1:30" hidden="1">
      <c r="A469" s="42" t="s">
        <v>2276</v>
      </c>
      <c r="B469" s="42">
        <v>43958</v>
      </c>
      <c r="C469" s="2" t="s">
        <v>2338</v>
      </c>
      <c r="D469" s="2" t="s">
        <v>65</v>
      </c>
      <c r="E469" s="2" t="s">
        <v>66</v>
      </c>
      <c r="F469" s="1" t="s">
        <v>34</v>
      </c>
      <c r="G469" s="46" t="s">
        <v>2339</v>
      </c>
      <c r="I469" s="11"/>
      <c r="J469" s="5">
        <v>11</v>
      </c>
      <c r="M469" s="2" t="s">
        <v>531</v>
      </c>
      <c r="N469" s="2" t="s">
        <v>300</v>
      </c>
      <c r="O469" s="7" t="s">
        <v>2340</v>
      </c>
      <c r="P469" s="2" t="s">
        <v>965</v>
      </c>
      <c r="Q469" s="149" t="s">
        <v>2341</v>
      </c>
      <c r="R469" s="2">
        <v>55401</v>
      </c>
      <c r="S469" s="2">
        <v>44.984155000000001</v>
      </c>
      <c r="T469" s="2">
        <v>-93.274996999999999</v>
      </c>
      <c r="AC469" s="2" t="s">
        <v>51</v>
      </c>
      <c r="AD469" s="2">
        <f t="shared" si="7"/>
        <v>2020</v>
      </c>
    </row>
    <row r="470" spans="1:30" hidden="1">
      <c r="A470" s="42" t="s">
        <v>2276</v>
      </c>
      <c r="B470" s="42">
        <v>43962</v>
      </c>
      <c r="C470" s="2" t="s">
        <v>2342</v>
      </c>
      <c r="D470" s="2" t="s">
        <v>800</v>
      </c>
      <c r="E470" s="2" t="s">
        <v>44</v>
      </c>
      <c r="F470" s="1" t="s">
        <v>34</v>
      </c>
      <c r="G470" s="46" t="s">
        <v>2343</v>
      </c>
      <c r="H470" s="2" t="s">
        <v>2344</v>
      </c>
      <c r="I470" s="135">
        <v>35515000</v>
      </c>
      <c r="J470" s="5">
        <v>50</v>
      </c>
      <c r="M470" s="1" t="s">
        <v>167</v>
      </c>
      <c r="N470" s="2" t="s">
        <v>48</v>
      </c>
      <c r="O470" s="7" t="s">
        <v>2345</v>
      </c>
      <c r="P470" s="2" t="s">
        <v>965</v>
      </c>
      <c r="Q470" s="157" t="s">
        <v>2346</v>
      </c>
      <c r="R470" s="2">
        <v>55129</v>
      </c>
      <c r="S470" s="2">
        <v>44.945808999999997</v>
      </c>
      <c r="T470" s="2">
        <v>-92.882041999999998</v>
      </c>
      <c r="U470" s="2" t="s">
        <v>378</v>
      </c>
      <c r="V470" s="2" t="s">
        <v>2347</v>
      </c>
      <c r="W470" s="2">
        <f>475000+350000+515000</f>
        <v>1340000</v>
      </c>
      <c r="AC470" s="2" t="s">
        <v>51</v>
      </c>
      <c r="AD470" s="2">
        <f t="shared" si="7"/>
        <v>2020</v>
      </c>
    </row>
    <row r="471" spans="1:30" hidden="1">
      <c r="A471" s="42" t="s">
        <v>2276</v>
      </c>
      <c r="B471" s="42">
        <v>43963</v>
      </c>
      <c r="C471" s="2" t="s">
        <v>2348</v>
      </c>
      <c r="D471" s="2" t="s">
        <v>90</v>
      </c>
      <c r="E471" s="1" t="s">
        <v>91</v>
      </c>
      <c r="F471" s="1" t="s">
        <v>34</v>
      </c>
      <c r="G471" s="46" t="s">
        <v>2349</v>
      </c>
      <c r="H471" s="2" t="s">
        <v>131</v>
      </c>
      <c r="I471" s="11">
        <v>500000</v>
      </c>
      <c r="J471" s="5">
        <v>25</v>
      </c>
      <c r="N471" s="2" t="s">
        <v>77</v>
      </c>
      <c r="O471" s="7" t="s">
        <v>2350</v>
      </c>
      <c r="P471" s="2" t="s">
        <v>658</v>
      </c>
      <c r="Q471" s="2" t="s">
        <v>2351</v>
      </c>
      <c r="R471" s="2">
        <v>55811</v>
      </c>
      <c r="S471" s="2">
        <v>46.838329000000002</v>
      </c>
      <c r="T471" s="2">
        <v>-92.203635000000006</v>
      </c>
      <c r="V471" s="2" t="s">
        <v>2352</v>
      </c>
      <c r="W471" s="2">
        <v>250000</v>
      </c>
      <c r="AC471" s="2" t="s">
        <v>97</v>
      </c>
      <c r="AD471" s="2">
        <f t="shared" si="7"/>
        <v>2020</v>
      </c>
    </row>
    <row r="472" spans="1:30" hidden="1">
      <c r="A472" s="42" t="s">
        <v>2276</v>
      </c>
      <c r="B472" s="42">
        <v>43963</v>
      </c>
      <c r="C472" s="2" t="s">
        <v>2353</v>
      </c>
      <c r="D472" s="2" t="s">
        <v>2354</v>
      </c>
      <c r="E472" s="2" t="s">
        <v>99</v>
      </c>
      <c r="F472" s="1" t="s">
        <v>34</v>
      </c>
      <c r="G472" s="46" t="s">
        <v>2355</v>
      </c>
      <c r="H472" s="2" t="s">
        <v>2214</v>
      </c>
      <c r="I472" s="11">
        <v>610000</v>
      </c>
      <c r="J472" s="5">
        <v>5</v>
      </c>
      <c r="L472" s="5">
        <v>4800</v>
      </c>
      <c r="N472" s="2" t="s">
        <v>77</v>
      </c>
      <c r="O472" s="7" t="s">
        <v>2350</v>
      </c>
      <c r="P472" s="2" t="s">
        <v>658</v>
      </c>
      <c r="R472" s="2">
        <v>55109</v>
      </c>
      <c r="S472" s="2">
        <v>45.013233999999997</v>
      </c>
      <c r="T472" s="2">
        <v>-93.029667000000003</v>
      </c>
      <c r="V472" s="2" t="s">
        <v>2352</v>
      </c>
      <c r="W472" s="2">
        <v>250000</v>
      </c>
      <c r="AC472" s="2" t="s">
        <v>51</v>
      </c>
      <c r="AD472" s="2">
        <f t="shared" si="7"/>
        <v>2020</v>
      </c>
    </row>
    <row r="473" spans="1:30" hidden="1">
      <c r="A473" s="42" t="s">
        <v>2276</v>
      </c>
      <c r="B473" s="42">
        <v>43964</v>
      </c>
      <c r="C473" s="2" t="s">
        <v>2262</v>
      </c>
      <c r="D473" s="2" t="s">
        <v>546</v>
      </c>
      <c r="E473" s="2" t="s">
        <v>74</v>
      </c>
      <c r="F473" s="1" t="s">
        <v>34</v>
      </c>
      <c r="G473" s="46" t="s">
        <v>2356</v>
      </c>
      <c r="H473" s="2" t="s">
        <v>2214</v>
      </c>
      <c r="I473" s="11"/>
      <c r="L473" s="5">
        <v>88000</v>
      </c>
      <c r="N473" s="2" t="s">
        <v>77</v>
      </c>
      <c r="O473" s="7" t="s">
        <v>2357</v>
      </c>
      <c r="P473" s="2" t="s">
        <v>965</v>
      </c>
      <c r="Q473" s="149" t="s">
        <v>2358</v>
      </c>
      <c r="R473" s="2">
        <v>55044</v>
      </c>
      <c r="S473" s="2">
        <v>44.635804999999998</v>
      </c>
      <c r="T473" s="2">
        <v>-93.254170000000002</v>
      </c>
      <c r="AC473" s="2" t="s">
        <v>51</v>
      </c>
      <c r="AD473" s="2">
        <f t="shared" si="7"/>
        <v>2020</v>
      </c>
    </row>
    <row r="474" spans="1:30" hidden="1">
      <c r="A474" s="42" t="s">
        <v>2276</v>
      </c>
      <c r="B474" s="42">
        <v>43982</v>
      </c>
      <c r="C474" s="2" t="s">
        <v>2359</v>
      </c>
      <c r="D474" s="2" t="s">
        <v>2360</v>
      </c>
      <c r="E474" s="2" t="s">
        <v>99</v>
      </c>
      <c r="F474" s="1" t="s">
        <v>34</v>
      </c>
      <c r="G474" s="46" t="s">
        <v>2361</v>
      </c>
      <c r="H474" s="2" t="s">
        <v>131</v>
      </c>
      <c r="I474" s="11"/>
      <c r="M474" s="2" t="s">
        <v>132</v>
      </c>
      <c r="N474" s="2" t="s">
        <v>48</v>
      </c>
      <c r="O474" s="7" t="s">
        <v>2362</v>
      </c>
      <c r="P474" s="2" t="s">
        <v>285</v>
      </c>
      <c r="Q474" s="149" t="s">
        <v>2363</v>
      </c>
      <c r="R474" s="2">
        <v>55126</v>
      </c>
      <c r="S474" s="2">
        <v>45.048780999999998</v>
      </c>
      <c r="T474" s="2">
        <v>-93.122681</v>
      </c>
      <c r="AC474" s="2" t="s">
        <v>51</v>
      </c>
      <c r="AD474" s="2">
        <f t="shared" si="7"/>
        <v>2020</v>
      </c>
    </row>
    <row r="475" spans="1:30" hidden="1">
      <c r="A475" s="42" t="s">
        <v>2276</v>
      </c>
      <c r="B475" s="42">
        <v>43983</v>
      </c>
      <c r="C475" s="2" t="s">
        <v>2364</v>
      </c>
      <c r="D475" s="2" t="s">
        <v>111</v>
      </c>
      <c r="E475" s="2" t="s">
        <v>112</v>
      </c>
      <c r="F475" s="1" t="s">
        <v>34</v>
      </c>
      <c r="G475" s="46" t="s">
        <v>2365</v>
      </c>
      <c r="H475" s="2" t="s">
        <v>131</v>
      </c>
      <c r="I475" s="11">
        <v>7350000</v>
      </c>
      <c r="J475" s="5">
        <v>20</v>
      </c>
      <c r="M475" s="1" t="s">
        <v>47</v>
      </c>
      <c r="N475" s="2" t="s">
        <v>48</v>
      </c>
      <c r="O475" s="7" t="s">
        <v>2366</v>
      </c>
      <c r="P475" s="2" t="s">
        <v>2325</v>
      </c>
      <c r="Q475" s="149" t="s">
        <v>2367</v>
      </c>
      <c r="R475" s="2">
        <v>55901</v>
      </c>
      <c r="S475" s="2">
        <v>44.052489999999999</v>
      </c>
      <c r="T475" s="2">
        <v>-92.510176000000001</v>
      </c>
      <c r="U475" s="2" t="s">
        <v>378</v>
      </c>
      <c r="V475" s="2" t="s">
        <v>2368</v>
      </c>
      <c r="W475" s="2">
        <f>175000+150000+200000</f>
        <v>525000</v>
      </c>
      <c r="AC475" s="2" t="s">
        <v>120</v>
      </c>
      <c r="AD475" s="2">
        <f t="shared" si="7"/>
        <v>2020</v>
      </c>
    </row>
    <row r="476" spans="1:30" hidden="1">
      <c r="A476" s="42" t="s">
        <v>2276</v>
      </c>
      <c r="B476" s="42">
        <v>43984</v>
      </c>
      <c r="C476" s="2" t="s">
        <v>2369</v>
      </c>
      <c r="D476" s="2" t="s">
        <v>65</v>
      </c>
      <c r="E476" s="2" t="s">
        <v>66</v>
      </c>
      <c r="F476" s="1" t="s">
        <v>34</v>
      </c>
      <c r="G476" s="46" t="s">
        <v>2370</v>
      </c>
      <c r="I476" s="11"/>
      <c r="M476" s="2" t="s">
        <v>1112</v>
      </c>
      <c r="N476" s="2" t="s">
        <v>103</v>
      </c>
      <c r="O476" s="7" t="s">
        <v>2371</v>
      </c>
      <c r="P476" s="2" t="s">
        <v>965</v>
      </c>
      <c r="R476" s="2">
        <v>55401</v>
      </c>
      <c r="S476" s="2">
        <v>44.984577000000002</v>
      </c>
      <c r="T476" s="2">
        <v>-93.269097000000002</v>
      </c>
      <c r="Z476" s="2" t="s">
        <v>960</v>
      </c>
      <c r="AA476" s="2" t="s">
        <v>2372</v>
      </c>
      <c r="AC476" s="2" t="s">
        <v>51</v>
      </c>
      <c r="AD476" s="2">
        <f t="shared" si="7"/>
        <v>2020</v>
      </c>
    </row>
    <row r="477" spans="1:30" hidden="1">
      <c r="A477" s="42" t="s">
        <v>2276</v>
      </c>
      <c r="B477" s="42">
        <v>43986</v>
      </c>
      <c r="C477" s="2" t="s">
        <v>2373</v>
      </c>
      <c r="D477" s="2" t="s">
        <v>528</v>
      </c>
      <c r="E477" s="2" t="s">
        <v>66</v>
      </c>
      <c r="F477" s="1" t="s">
        <v>34</v>
      </c>
      <c r="G477" s="2" t="s">
        <v>2374</v>
      </c>
      <c r="H477" s="2" t="s">
        <v>2079</v>
      </c>
      <c r="I477" s="11">
        <v>877000</v>
      </c>
      <c r="M477" s="2" t="s">
        <v>2109</v>
      </c>
      <c r="N477" s="1" t="s">
        <v>37</v>
      </c>
      <c r="O477" s="7" t="s">
        <v>2084</v>
      </c>
      <c r="P477" s="2" t="s">
        <v>2375</v>
      </c>
      <c r="Q477" s="2" t="s">
        <v>2376</v>
      </c>
      <c r="R477" s="2">
        <v>55435</v>
      </c>
      <c r="S477" s="2">
        <v>44.860692999999998</v>
      </c>
      <c r="T477" s="2">
        <v>-93.330611000000005</v>
      </c>
      <c r="AC477" s="2" t="s">
        <v>51</v>
      </c>
      <c r="AD477" s="2">
        <f t="shared" si="7"/>
        <v>2020</v>
      </c>
    </row>
    <row r="478" spans="1:30" hidden="1">
      <c r="A478" s="42" t="s">
        <v>2276</v>
      </c>
      <c r="B478" s="42">
        <v>43991</v>
      </c>
      <c r="C478" s="2" t="s">
        <v>1996</v>
      </c>
      <c r="D478" s="2" t="s">
        <v>2377</v>
      </c>
      <c r="E478" s="2" t="s">
        <v>99</v>
      </c>
      <c r="F478" s="1" t="s">
        <v>34</v>
      </c>
      <c r="G478" s="46" t="s">
        <v>2378</v>
      </c>
      <c r="H478" s="2" t="s">
        <v>2079</v>
      </c>
      <c r="I478" s="11"/>
      <c r="J478" s="5">
        <v>30</v>
      </c>
      <c r="L478" s="5">
        <v>10700</v>
      </c>
      <c r="N478" s="2" t="s">
        <v>253</v>
      </c>
      <c r="O478" s="7" t="s">
        <v>2379</v>
      </c>
      <c r="P478" s="2" t="s">
        <v>965</v>
      </c>
      <c r="Q478" s="149" t="s">
        <v>2380</v>
      </c>
      <c r="R478" s="2">
        <v>55102</v>
      </c>
      <c r="S478" s="2">
        <v>44.946398000000002</v>
      </c>
      <c r="T478" s="2">
        <v>-93.093676000000002</v>
      </c>
      <c r="AC478" s="2" t="s">
        <v>51</v>
      </c>
      <c r="AD478" s="2">
        <f t="shared" si="7"/>
        <v>2020</v>
      </c>
    </row>
    <row r="479" spans="1:30" hidden="1">
      <c r="A479" s="42" t="s">
        <v>2276</v>
      </c>
      <c r="B479" s="42">
        <v>43992</v>
      </c>
      <c r="C479" s="2" t="s">
        <v>2381</v>
      </c>
      <c r="D479" s="2" t="s">
        <v>2377</v>
      </c>
      <c r="E479" s="2" t="s">
        <v>99</v>
      </c>
      <c r="F479" s="1" t="s">
        <v>34</v>
      </c>
      <c r="G479" s="46" t="s">
        <v>2382</v>
      </c>
      <c r="H479" s="2" t="s">
        <v>2079</v>
      </c>
      <c r="I479" s="10"/>
      <c r="J479" s="29">
        <v>50</v>
      </c>
      <c r="L479" s="5">
        <v>10700</v>
      </c>
      <c r="M479" s="2" t="s">
        <v>531</v>
      </c>
      <c r="N479" s="2" t="s">
        <v>300</v>
      </c>
      <c r="O479" s="7" t="s">
        <v>2383</v>
      </c>
      <c r="P479" s="2" t="s">
        <v>965</v>
      </c>
      <c r="Q479" s="2" t="s">
        <v>533</v>
      </c>
      <c r="R479" s="2">
        <v>55102</v>
      </c>
      <c r="S479" s="2">
        <v>44.946398000000002</v>
      </c>
      <c r="T479" s="2">
        <v>-93.093676000000002</v>
      </c>
      <c r="AA479" s="2" t="s">
        <v>2384</v>
      </c>
      <c r="AC479" s="2" t="s">
        <v>51</v>
      </c>
      <c r="AD479" s="2">
        <f t="shared" si="7"/>
        <v>2020</v>
      </c>
    </row>
    <row r="480" spans="1:30" hidden="1">
      <c r="A480" s="42" t="s">
        <v>2276</v>
      </c>
      <c r="B480" s="42">
        <v>43992</v>
      </c>
      <c r="C480" s="2" t="s">
        <v>2385</v>
      </c>
      <c r="D480" s="2" t="s">
        <v>2113</v>
      </c>
      <c r="E480" s="2" t="s">
        <v>99</v>
      </c>
      <c r="F480" s="1" t="s">
        <v>34</v>
      </c>
      <c r="G480" s="46" t="s">
        <v>2386</v>
      </c>
      <c r="I480" s="158">
        <v>734655</v>
      </c>
      <c r="J480" s="5">
        <v>50</v>
      </c>
      <c r="M480" s="2" t="s">
        <v>2109</v>
      </c>
      <c r="N480" s="1" t="s">
        <v>37</v>
      </c>
      <c r="O480" s="2" t="s">
        <v>114</v>
      </c>
      <c r="P480" s="2" t="s">
        <v>2387</v>
      </c>
      <c r="R480" s="2">
        <v>55101</v>
      </c>
      <c r="S480" s="2">
        <v>44.951483000000003</v>
      </c>
      <c r="T480" s="2">
        <v>-93.090648999999999</v>
      </c>
      <c r="AC480" s="2" t="s">
        <v>51</v>
      </c>
      <c r="AD480" s="2">
        <f t="shared" si="7"/>
        <v>2020</v>
      </c>
    </row>
    <row r="481" spans="1:30" hidden="1">
      <c r="A481" s="42" t="s">
        <v>2276</v>
      </c>
      <c r="B481" s="3">
        <v>43992</v>
      </c>
      <c r="C481" s="2" t="s">
        <v>2388</v>
      </c>
      <c r="D481" s="2" t="s">
        <v>2389</v>
      </c>
      <c r="E481" s="2" t="s">
        <v>2390</v>
      </c>
      <c r="F481" s="1" t="s">
        <v>34</v>
      </c>
      <c r="G481" s="2" t="s">
        <v>2391</v>
      </c>
      <c r="H481" s="2" t="s">
        <v>2312</v>
      </c>
      <c r="I481" s="135">
        <v>30000000</v>
      </c>
      <c r="J481" s="5">
        <v>68</v>
      </c>
      <c r="L481" s="5">
        <v>200000</v>
      </c>
      <c r="M481" s="1" t="s">
        <v>47</v>
      </c>
      <c r="N481" s="2" t="s">
        <v>48</v>
      </c>
      <c r="O481" s="7" t="s">
        <v>2392</v>
      </c>
      <c r="Q481" s="2" t="s">
        <v>2393</v>
      </c>
      <c r="R481" s="2">
        <v>56187</v>
      </c>
      <c r="S481" s="2">
        <v>43.634849000000003</v>
      </c>
      <c r="T481" s="2">
        <v>-95.570030000000003</v>
      </c>
      <c r="U481" s="2" t="s">
        <v>378</v>
      </c>
      <c r="V481" s="2" t="s">
        <v>2394</v>
      </c>
      <c r="W481" s="136">
        <f>450000+175000</f>
        <v>625000</v>
      </c>
      <c r="AC481" s="2" t="s">
        <v>120</v>
      </c>
      <c r="AD481" s="2">
        <f t="shared" si="7"/>
        <v>2020</v>
      </c>
    </row>
    <row r="482" spans="1:30" hidden="1">
      <c r="A482" s="42" t="s">
        <v>2276</v>
      </c>
      <c r="B482" s="42">
        <v>43997</v>
      </c>
      <c r="C482" s="2" t="s">
        <v>2395</v>
      </c>
      <c r="D482" s="2" t="s">
        <v>528</v>
      </c>
      <c r="E482" s="2" t="s">
        <v>66</v>
      </c>
      <c r="F482" s="1" t="s">
        <v>34</v>
      </c>
      <c r="G482" s="2" t="s">
        <v>2396</v>
      </c>
      <c r="I482" s="11">
        <v>800000</v>
      </c>
      <c r="M482" s="2" t="s">
        <v>2397</v>
      </c>
      <c r="N482" s="2" t="s">
        <v>384</v>
      </c>
      <c r="O482" s="7" t="s">
        <v>2084</v>
      </c>
      <c r="P482" s="2" t="s">
        <v>2375</v>
      </c>
      <c r="Q482" s="2" t="s">
        <v>2398</v>
      </c>
      <c r="R482" s="2">
        <v>55420</v>
      </c>
      <c r="S482" s="2">
        <v>44.859059999999999</v>
      </c>
      <c r="T482" s="2">
        <v>-93.264100999999997</v>
      </c>
      <c r="AC482" s="2" t="s">
        <v>51</v>
      </c>
      <c r="AD482" s="2">
        <f t="shared" si="7"/>
        <v>2020</v>
      </c>
    </row>
    <row r="483" spans="1:30" hidden="1">
      <c r="A483" s="42" t="s">
        <v>2276</v>
      </c>
      <c r="B483" s="42">
        <v>43997</v>
      </c>
      <c r="C483" s="2" t="s">
        <v>2399</v>
      </c>
      <c r="D483" s="2" t="s">
        <v>65</v>
      </c>
      <c r="E483" s="2" t="s">
        <v>66</v>
      </c>
      <c r="F483" s="1" t="s">
        <v>34</v>
      </c>
      <c r="G483" s="46" t="s">
        <v>2400</v>
      </c>
      <c r="H483" s="2" t="s">
        <v>2079</v>
      </c>
      <c r="I483" s="11"/>
      <c r="L483" s="5">
        <v>32500</v>
      </c>
      <c r="M483" s="2" t="s">
        <v>159</v>
      </c>
      <c r="N483" s="2" t="s">
        <v>86</v>
      </c>
      <c r="O483" s="7" t="s">
        <v>2401</v>
      </c>
      <c r="P483" s="2" t="s">
        <v>965</v>
      </c>
      <c r="Q483" s="2" t="s">
        <v>2402</v>
      </c>
      <c r="R483" s="2">
        <v>55402</v>
      </c>
      <c r="S483" s="2">
        <v>44.978349999999999</v>
      </c>
      <c r="T483" s="2">
        <v>-93.268628000000007</v>
      </c>
      <c r="Z483" s="2" t="s">
        <v>321</v>
      </c>
      <c r="AA483" s="2" t="s">
        <v>2403</v>
      </c>
      <c r="AC483" s="2" t="s">
        <v>51</v>
      </c>
      <c r="AD483" s="2">
        <f t="shared" si="7"/>
        <v>2020</v>
      </c>
    </row>
    <row r="484" spans="1:30" hidden="1">
      <c r="A484" s="42" t="s">
        <v>2276</v>
      </c>
      <c r="B484" s="42">
        <v>44000</v>
      </c>
      <c r="C484" s="2" t="s">
        <v>2404</v>
      </c>
      <c r="D484" s="2" t="s">
        <v>2405</v>
      </c>
      <c r="E484" s="2" t="s">
        <v>395</v>
      </c>
      <c r="F484" s="1" t="s">
        <v>34</v>
      </c>
      <c r="G484" s="46" t="s">
        <v>2406</v>
      </c>
      <c r="I484" s="11">
        <v>3000000000</v>
      </c>
      <c r="J484" s="5">
        <v>5000</v>
      </c>
      <c r="M484" s="2" t="s">
        <v>2407</v>
      </c>
      <c r="N484" s="2" t="s">
        <v>2408</v>
      </c>
      <c r="O484" s="7" t="s">
        <v>2409</v>
      </c>
      <c r="P484" s="2" t="s">
        <v>965</v>
      </c>
      <c r="R484" s="2">
        <v>55308</v>
      </c>
      <c r="S484" s="2">
        <v>45.451864</v>
      </c>
      <c r="T484" s="2">
        <v>-93.842186999999996</v>
      </c>
      <c r="AC484" s="2" t="s">
        <v>41</v>
      </c>
      <c r="AD484" s="2">
        <f t="shared" si="7"/>
        <v>2020</v>
      </c>
    </row>
    <row r="485" spans="1:30" hidden="1">
      <c r="A485" s="42" t="s">
        <v>2276</v>
      </c>
      <c r="B485" s="78">
        <v>44001</v>
      </c>
      <c r="C485" s="51" t="s">
        <v>2410</v>
      </c>
      <c r="D485" s="51" t="s">
        <v>65</v>
      </c>
      <c r="E485" s="2" t="s">
        <v>66</v>
      </c>
      <c r="F485" s="1" t="s">
        <v>34</v>
      </c>
      <c r="G485" s="46" t="s">
        <v>2411</v>
      </c>
      <c r="H485" s="2" t="s">
        <v>2336</v>
      </c>
      <c r="I485" s="10"/>
      <c r="J485" s="29"/>
      <c r="M485" s="1" t="s">
        <v>47</v>
      </c>
      <c r="N485" s="2" t="s">
        <v>48</v>
      </c>
      <c r="O485" s="7" t="s">
        <v>2412</v>
      </c>
      <c r="P485" s="2" t="s">
        <v>2413</v>
      </c>
      <c r="Q485" s="149" t="s">
        <v>2414</v>
      </c>
      <c r="R485" s="2">
        <v>55441</v>
      </c>
      <c r="S485" s="2">
        <v>44.990468</v>
      </c>
      <c r="T485" s="2">
        <v>-93.447700999999995</v>
      </c>
      <c r="Y485" s="2" t="s">
        <v>2415</v>
      </c>
      <c r="AB485" s="2" t="s">
        <v>1323</v>
      </c>
      <c r="AC485" s="2" t="s">
        <v>51</v>
      </c>
      <c r="AD485" s="2">
        <f t="shared" si="7"/>
        <v>2020</v>
      </c>
    </row>
    <row r="486" spans="1:30" hidden="1">
      <c r="A486" s="42" t="s">
        <v>2276</v>
      </c>
      <c r="B486" s="210">
        <v>44001</v>
      </c>
      <c r="C486" s="216" t="s">
        <v>1648</v>
      </c>
      <c r="D486" s="216" t="s">
        <v>528</v>
      </c>
      <c r="E486" s="2" t="s">
        <v>66</v>
      </c>
      <c r="F486" s="1" t="s">
        <v>34</v>
      </c>
      <c r="G486" s="2" t="s">
        <v>2416</v>
      </c>
      <c r="H486" s="2" t="s">
        <v>131</v>
      </c>
      <c r="I486" s="11">
        <v>750000</v>
      </c>
      <c r="M486" s="2" t="s">
        <v>93</v>
      </c>
      <c r="N486" s="2" t="s">
        <v>48</v>
      </c>
      <c r="O486" s="7" t="s">
        <v>2084</v>
      </c>
      <c r="P486" s="2" t="s">
        <v>2375</v>
      </c>
      <c r="Q486" s="2" t="s">
        <v>2417</v>
      </c>
      <c r="R486" s="2">
        <v>55420</v>
      </c>
      <c r="S486" s="2">
        <v>44.831665999999998</v>
      </c>
      <c r="T486" s="2">
        <v>-93.291948000000005</v>
      </c>
      <c r="AC486" s="2" t="s">
        <v>51</v>
      </c>
      <c r="AD486" s="2">
        <f t="shared" si="7"/>
        <v>2020</v>
      </c>
    </row>
    <row r="487" spans="1:30" hidden="1">
      <c r="A487" s="42" t="s">
        <v>2276</v>
      </c>
      <c r="B487" s="42">
        <v>44004</v>
      </c>
      <c r="C487" s="2" t="s">
        <v>2418</v>
      </c>
      <c r="D487" s="2" t="s">
        <v>528</v>
      </c>
      <c r="E487" s="2" t="s">
        <v>66</v>
      </c>
      <c r="F487" s="1" t="s">
        <v>34</v>
      </c>
      <c r="G487" s="2" t="s">
        <v>2419</v>
      </c>
      <c r="H487" s="2" t="s">
        <v>2079</v>
      </c>
      <c r="I487" s="11">
        <v>385336</v>
      </c>
      <c r="N487" s="1" t="s">
        <v>140</v>
      </c>
      <c r="O487" s="7" t="s">
        <v>2084</v>
      </c>
      <c r="P487" s="2" t="s">
        <v>2375</v>
      </c>
      <c r="Q487" s="2" t="s">
        <v>2243</v>
      </c>
      <c r="R487" s="2">
        <v>55437</v>
      </c>
      <c r="S487" s="2">
        <v>44.854151999999999</v>
      </c>
      <c r="T487" s="2">
        <v>-93.357275999999999</v>
      </c>
      <c r="AC487" s="2" t="s">
        <v>51</v>
      </c>
      <c r="AD487" s="2">
        <f t="shared" si="7"/>
        <v>2020</v>
      </c>
    </row>
    <row r="488" spans="1:30" hidden="1">
      <c r="A488" s="42" t="s">
        <v>2276</v>
      </c>
      <c r="B488" s="42">
        <v>44004</v>
      </c>
      <c r="C488" s="2" t="s">
        <v>2420</v>
      </c>
      <c r="D488" s="2" t="s">
        <v>505</v>
      </c>
      <c r="E488" s="2" t="s">
        <v>335</v>
      </c>
      <c r="F488" s="1" t="s">
        <v>34</v>
      </c>
      <c r="G488" s="159" t="s">
        <v>2421</v>
      </c>
      <c r="H488" s="2" t="s">
        <v>2422</v>
      </c>
      <c r="I488" s="11"/>
      <c r="L488" s="5">
        <v>26000</v>
      </c>
      <c r="N488" s="2" t="s">
        <v>384</v>
      </c>
      <c r="O488" s="7" t="s">
        <v>2423</v>
      </c>
      <c r="P488" s="2" t="s">
        <v>647</v>
      </c>
      <c r="Q488" s="149" t="s">
        <v>2424</v>
      </c>
      <c r="R488" s="2">
        <v>55379</v>
      </c>
      <c r="S488" s="2">
        <v>44.795411000000001</v>
      </c>
      <c r="T488" s="2">
        <v>-93.508885000000006</v>
      </c>
      <c r="AC488" s="2" t="s">
        <v>51</v>
      </c>
      <c r="AD488" s="2">
        <f t="shared" si="7"/>
        <v>2020</v>
      </c>
    </row>
    <row r="489" spans="1:30" hidden="1">
      <c r="A489" s="42" t="s">
        <v>2276</v>
      </c>
      <c r="B489" s="42">
        <v>44004</v>
      </c>
      <c r="C489" s="2" t="s">
        <v>2425</v>
      </c>
      <c r="D489" s="2" t="s">
        <v>528</v>
      </c>
      <c r="E489" s="2" t="s">
        <v>66</v>
      </c>
      <c r="F489" s="1" t="s">
        <v>34</v>
      </c>
      <c r="G489" s="2" t="s">
        <v>2426</v>
      </c>
      <c r="H489" s="2" t="s">
        <v>2079</v>
      </c>
      <c r="I489" s="11">
        <v>505750</v>
      </c>
      <c r="M489" s="2" t="s">
        <v>531</v>
      </c>
      <c r="N489" s="2" t="s">
        <v>300</v>
      </c>
      <c r="O489" s="7" t="s">
        <v>2084</v>
      </c>
      <c r="P489" s="2" t="s">
        <v>2375</v>
      </c>
      <c r="Q489" s="2" t="s">
        <v>2243</v>
      </c>
      <c r="R489" s="2">
        <v>55437</v>
      </c>
      <c r="S489" s="2">
        <v>44.854151999999999</v>
      </c>
      <c r="T489" s="2">
        <v>-93.357275999999999</v>
      </c>
      <c r="AC489" s="2" t="s">
        <v>51</v>
      </c>
      <c r="AD489" s="2">
        <f t="shared" si="7"/>
        <v>2020</v>
      </c>
    </row>
    <row r="490" spans="1:30" hidden="1">
      <c r="A490" s="42" t="s">
        <v>2276</v>
      </c>
      <c r="B490" s="42">
        <v>44006</v>
      </c>
      <c r="C490" s="2" t="s">
        <v>2427</v>
      </c>
      <c r="D490" s="2" t="s">
        <v>528</v>
      </c>
      <c r="E490" s="2" t="s">
        <v>66</v>
      </c>
      <c r="F490" s="1" t="s">
        <v>34</v>
      </c>
      <c r="G490" s="2" t="s">
        <v>2428</v>
      </c>
      <c r="H490" s="2" t="s">
        <v>2079</v>
      </c>
      <c r="I490" s="11">
        <v>355727</v>
      </c>
      <c r="N490" s="1" t="s">
        <v>140</v>
      </c>
      <c r="O490" s="7" t="s">
        <v>2084</v>
      </c>
      <c r="P490" s="2" t="s">
        <v>2375</v>
      </c>
      <c r="Q490" s="2" t="s">
        <v>2429</v>
      </c>
      <c r="R490" s="2">
        <v>55437</v>
      </c>
      <c r="S490" s="2">
        <v>44.853110000000001</v>
      </c>
      <c r="T490" s="2">
        <v>-93.353234999999998</v>
      </c>
      <c r="AC490" s="2" t="s">
        <v>51</v>
      </c>
      <c r="AD490" s="2">
        <f t="shared" si="7"/>
        <v>2020</v>
      </c>
    </row>
    <row r="491" spans="1:30" hidden="1">
      <c r="A491" s="42" t="s">
        <v>2276</v>
      </c>
      <c r="B491" s="42">
        <v>44011</v>
      </c>
      <c r="C491" s="2" t="s">
        <v>2430</v>
      </c>
      <c r="D491" s="2" t="s">
        <v>32</v>
      </c>
      <c r="E491" s="2" t="s">
        <v>33</v>
      </c>
      <c r="F491" s="1" t="s">
        <v>34</v>
      </c>
      <c r="G491" s="46" t="s">
        <v>2431</v>
      </c>
      <c r="H491" s="2" t="s">
        <v>131</v>
      </c>
      <c r="I491" s="11"/>
      <c r="J491" s="5">
        <v>95</v>
      </c>
      <c r="M491" s="1" t="s">
        <v>47</v>
      </c>
      <c r="N491" s="2" t="s">
        <v>48</v>
      </c>
      <c r="O491" s="7" t="s">
        <v>2432</v>
      </c>
      <c r="P491" s="2" t="s">
        <v>2433</v>
      </c>
      <c r="Q491" s="149" t="s">
        <v>2434</v>
      </c>
      <c r="R491" s="2">
        <v>56201</v>
      </c>
      <c r="S491" s="2">
        <v>45.110613000000001</v>
      </c>
      <c r="T491" s="2">
        <v>-95.077980999999994</v>
      </c>
      <c r="AC491" s="2" t="s">
        <v>41</v>
      </c>
      <c r="AD491" s="2">
        <f t="shared" si="7"/>
        <v>2020</v>
      </c>
    </row>
    <row r="492" spans="1:30" hidden="1">
      <c r="A492" s="42" t="s">
        <v>2276</v>
      </c>
      <c r="B492" s="42">
        <v>44012</v>
      </c>
      <c r="C492" s="2" t="s">
        <v>2435</v>
      </c>
      <c r="D492" s="2" t="s">
        <v>1501</v>
      </c>
      <c r="E492" s="2" t="s">
        <v>677</v>
      </c>
      <c r="F492" s="1" t="s">
        <v>34</v>
      </c>
      <c r="G492" s="46" t="s">
        <v>2436</v>
      </c>
      <c r="H492" s="2" t="s">
        <v>2079</v>
      </c>
      <c r="I492" s="11">
        <f>3164069+840927</f>
        <v>4004996</v>
      </c>
      <c r="M492" s="2" t="s">
        <v>2109</v>
      </c>
      <c r="N492" s="1" t="s">
        <v>37</v>
      </c>
      <c r="O492" s="7" t="s">
        <v>2437</v>
      </c>
      <c r="P492" s="2" t="s">
        <v>2269</v>
      </c>
      <c r="Q492" s="2" t="s">
        <v>2438</v>
      </c>
      <c r="R492" s="2">
        <v>55433</v>
      </c>
      <c r="S492" s="2">
        <v>45.182861000000003</v>
      </c>
      <c r="T492" s="2">
        <v>-93.367238</v>
      </c>
      <c r="AC492" s="2" t="s">
        <v>51</v>
      </c>
      <c r="AD492" s="2">
        <f t="shared" si="7"/>
        <v>2020</v>
      </c>
    </row>
    <row r="493" spans="1:30" hidden="1">
      <c r="A493" s="42" t="s">
        <v>2439</v>
      </c>
      <c r="B493" s="3">
        <v>44013</v>
      </c>
      <c r="C493" s="2" t="s">
        <v>1186</v>
      </c>
      <c r="D493" s="2" t="s">
        <v>528</v>
      </c>
      <c r="E493" s="2" t="s">
        <v>66</v>
      </c>
      <c r="F493" s="1" t="s">
        <v>34</v>
      </c>
      <c r="G493" s="2" t="s">
        <v>2440</v>
      </c>
      <c r="I493" s="10"/>
      <c r="N493" s="2" t="s">
        <v>77</v>
      </c>
      <c r="O493" s="7" t="s">
        <v>2441</v>
      </c>
      <c r="P493" s="2" t="s">
        <v>965</v>
      </c>
      <c r="Q493" s="2" t="s">
        <v>1189</v>
      </c>
      <c r="R493" s="2">
        <v>55431</v>
      </c>
      <c r="S493" s="2">
        <v>44.832459999999998</v>
      </c>
      <c r="T493" s="2">
        <v>-93.297618</v>
      </c>
      <c r="W493" s="5"/>
      <c r="AC493" s="2" t="s">
        <v>51</v>
      </c>
      <c r="AD493" s="2">
        <f t="shared" si="7"/>
        <v>2020</v>
      </c>
    </row>
    <row r="494" spans="1:30" hidden="1">
      <c r="A494" s="42" t="s">
        <v>2439</v>
      </c>
      <c r="B494" s="3">
        <v>44019</v>
      </c>
      <c r="C494" s="2" t="s">
        <v>2442</v>
      </c>
      <c r="D494" s="2" t="s">
        <v>2443</v>
      </c>
      <c r="E494" s="2" t="s">
        <v>74</v>
      </c>
      <c r="F494" s="1" t="s">
        <v>34</v>
      </c>
      <c r="G494" s="2" t="s">
        <v>2444</v>
      </c>
      <c r="I494" s="11">
        <v>3200000</v>
      </c>
      <c r="M494" s="1" t="s">
        <v>47</v>
      </c>
      <c r="N494" s="2" t="s">
        <v>48</v>
      </c>
      <c r="O494" s="7" t="s">
        <v>2445</v>
      </c>
      <c r="P494" s="2" t="s">
        <v>647</v>
      </c>
      <c r="Q494" s="2" t="s">
        <v>2446</v>
      </c>
      <c r="R494" s="2">
        <v>55033</v>
      </c>
      <c r="S494" s="2">
        <v>44.719309000000003</v>
      </c>
      <c r="T494" s="2">
        <v>-92.833173000000002</v>
      </c>
      <c r="W494" s="5"/>
      <c r="AC494" s="2" t="s">
        <v>51</v>
      </c>
      <c r="AD494" s="2">
        <f t="shared" si="7"/>
        <v>2020</v>
      </c>
    </row>
    <row r="495" spans="1:30" hidden="1">
      <c r="A495" s="42" t="s">
        <v>2439</v>
      </c>
      <c r="B495" s="3">
        <v>44021</v>
      </c>
      <c r="C495" s="2" t="s">
        <v>2447</v>
      </c>
      <c r="D495" s="2" t="s">
        <v>2448</v>
      </c>
      <c r="E495" s="2" t="s">
        <v>395</v>
      </c>
      <c r="F495" s="1" t="s">
        <v>34</v>
      </c>
      <c r="G495" s="2" t="s">
        <v>2449</v>
      </c>
      <c r="I495" s="10"/>
      <c r="J495" s="5">
        <v>50</v>
      </c>
      <c r="K495" s="2">
        <v>32</v>
      </c>
      <c r="M495" s="2" t="s">
        <v>496</v>
      </c>
      <c r="N495" s="2" t="s">
        <v>48</v>
      </c>
      <c r="O495" s="7" t="s">
        <v>2450</v>
      </c>
      <c r="P495" s="2" t="s">
        <v>658</v>
      </c>
      <c r="Q495" s="2" t="s">
        <v>2451</v>
      </c>
      <c r="R495" s="2">
        <v>55371</v>
      </c>
      <c r="S495" s="2">
        <v>45.558625999999997</v>
      </c>
      <c r="T495" s="2">
        <v>-93.600301999999999</v>
      </c>
      <c r="U495" s="2" t="s">
        <v>378</v>
      </c>
      <c r="V495" s="2" t="s">
        <v>287</v>
      </c>
      <c r="W495" s="5">
        <v>310000</v>
      </c>
      <c r="AC495" s="2" t="s">
        <v>41</v>
      </c>
      <c r="AD495" s="2">
        <f t="shared" si="7"/>
        <v>2020</v>
      </c>
    </row>
    <row r="496" spans="1:30" hidden="1">
      <c r="A496" s="42" t="s">
        <v>2439</v>
      </c>
      <c r="B496" s="3">
        <v>44021</v>
      </c>
      <c r="C496" s="2" t="s">
        <v>2404</v>
      </c>
      <c r="D496" s="2" t="s">
        <v>2452</v>
      </c>
      <c r="E496" s="2" t="s">
        <v>238</v>
      </c>
      <c r="F496" s="1" t="s">
        <v>34</v>
      </c>
      <c r="G496" s="2" t="s">
        <v>2453</v>
      </c>
      <c r="H496" s="2" t="s">
        <v>2454</v>
      </c>
      <c r="I496" s="11">
        <v>4000000</v>
      </c>
      <c r="J496" s="5">
        <v>17</v>
      </c>
      <c r="K496" s="2">
        <v>15</v>
      </c>
      <c r="N496" s="2" t="s">
        <v>1462</v>
      </c>
      <c r="O496" s="7" t="s">
        <v>2450</v>
      </c>
      <c r="P496" s="2" t="s">
        <v>658</v>
      </c>
      <c r="R496" s="2">
        <v>56472</v>
      </c>
      <c r="S496" s="2">
        <v>46.616146999999998</v>
      </c>
      <c r="T496" s="2">
        <v>-94.235561000000004</v>
      </c>
      <c r="U496" s="2" t="s">
        <v>378</v>
      </c>
      <c r="V496" s="2" t="s">
        <v>287</v>
      </c>
      <c r="W496" s="5">
        <v>164700</v>
      </c>
      <c r="AC496" s="2" t="s">
        <v>41</v>
      </c>
      <c r="AD496" s="2">
        <f t="shared" si="7"/>
        <v>2020</v>
      </c>
    </row>
    <row r="497" spans="1:30" hidden="1">
      <c r="A497" s="42" t="s">
        <v>2439</v>
      </c>
      <c r="B497" s="3">
        <v>44022</v>
      </c>
      <c r="C497" s="2" t="s">
        <v>1251</v>
      </c>
      <c r="D497" s="2" t="s">
        <v>1741</v>
      </c>
      <c r="E497" s="2" t="s">
        <v>1253</v>
      </c>
      <c r="F497" s="1" t="s">
        <v>34</v>
      </c>
      <c r="G497" s="2" t="s">
        <v>2455</v>
      </c>
      <c r="I497" s="11"/>
      <c r="J497" s="5">
        <v>15</v>
      </c>
      <c r="N497" s="2" t="s">
        <v>762</v>
      </c>
      <c r="O497" s="7" t="s">
        <v>2456</v>
      </c>
      <c r="P497" s="2" t="s">
        <v>965</v>
      </c>
      <c r="Q497" s="2" t="s">
        <v>1256</v>
      </c>
      <c r="R497" s="2">
        <v>55060</v>
      </c>
      <c r="S497" s="2">
        <v>44.145825000000002</v>
      </c>
      <c r="T497" s="2">
        <v>-93.180071999999996</v>
      </c>
      <c r="W497" s="5"/>
      <c r="AC497" s="2" t="s">
        <v>120</v>
      </c>
      <c r="AD497" s="2">
        <f t="shared" si="7"/>
        <v>2020</v>
      </c>
    </row>
    <row r="498" spans="1:30" hidden="1">
      <c r="A498" s="42" t="s">
        <v>2439</v>
      </c>
      <c r="B498" s="3">
        <v>44025</v>
      </c>
      <c r="C498" s="2" t="s">
        <v>2457</v>
      </c>
      <c r="D498" s="2" t="s">
        <v>1501</v>
      </c>
      <c r="E498" s="2" t="s">
        <v>677</v>
      </c>
      <c r="F498" s="1" t="s">
        <v>34</v>
      </c>
      <c r="G498" s="2" t="s">
        <v>2458</v>
      </c>
      <c r="I498" s="11">
        <v>10000000</v>
      </c>
      <c r="L498" s="5">
        <v>180000</v>
      </c>
      <c r="M498" s="2" t="s">
        <v>2459</v>
      </c>
      <c r="N498" s="2" t="s">
        <v>69</v>
      </c>
      <c r="O498" s="7" t="s">
        <v>2460</v>
      </c>
      <c r="P498" s="2" t="s">
        <v>285</v>
      </c>
      <c r="Q498" s="83" t="s">
        <v>2461</v>
      </c>
      <c r="R498" s="2">
        <v>55433</v>
      </c>
      <c r="S498" s="2">
        <v>45.196300999999998</v>
      </c>
      <c r="T498" s="2">
        <v>-93.342622000000006</v>
      </c>
      <c r="W498" s="5"/>
      <c r="AC498" s="2" t="s">
        <v>51</v>
      </c>
      <c r="AD498" s="2">
        <f t="shared" si="7"/>
        <v>2020</v>
      </c>
    </row>
    <row r="499" spans="1:30" hidden="1">
      <c r="A499" s="42" t="s">
        <v>2439</v>
      </c>
      <c r="B499" s="3">
        <v>44026</v>
      </c>
      <c r="C499" s="2" t="s">
        <v>214</v>
      </c>
      <c r="D499" s="2" t="s">
        <v>65</v>
      </c>
      <c r="E499" s="2" t="s">
        <v>66</v>
      </c>
      <c r="F499" s="1" t="s">
        <v>34</v>
      </c>
      <c r="G499" s="2" t="s">
        <v>2462</v>
      </c>
      <c r="I499" s="10"/>
      <c r="M499" s="2" t="s">
        <v>85</v>
      </c>
      <c r="N499" s="2" t="s">
        <v>86</v>
      </c>
      <c r="O499" s="7" t="s">
        <v>2463</v>
      </c>
      <c r="P499" s="2" t="s">
        <v>965</v>
      </c>
      <c r="Q499" s="2" t="s">
        <v>2464</v>
      </c>
      <c r="R499" s="2">
        <v>55401</v>
      </c>
      <c r="S499" s="2">
        <v>44.985892999999997</v>
      </c>
      <c r="T499" s="2">
        <v>-93.269371000000007</v>
      </c>
      <c r="W499" s="5"/>
      <c r="AC499" s="2" t="s">
        <v>51</v>
      </c>
      <c r="AD499" s="2">
        <f t="shared" si="7"/>
        <v>2020</v>
      </c>
    </row>
    <row r="500" spans="1:30" hidden="1">
      <c r="A500" s="42" t="s">
        <v>2439</v>
      </c>
      <c r="B500" s="3">
        <v>44028</v>
      </c>
      <c r="C500" s="2" t="s">
        <v>2465</v>
      </c>
      <c r="D500" s="2" t="s">
        <v>528</v>
      </c>
      <c r="E500" s="2" t="s">
        <v>66</v>
      </c>
      <c r="F500" s="1" t="s">
        <v>34</v>
      </c>
      <c r="G500" s="2" t="s">
        <v>2466</v>
      </c>
      <c r="H500" s="2" t="s">
        <v>2214</v>
      </c>
      <c r="I500" s="11">
        <v>3343680</v>
      </c>
      <c r="N500" s="2" t="s">
        <v>253</v>
      </c>
      <c r="O500" s="7" t="s">
        <v>2084</v>
      </c>
      <c r="P500" s="2" t="s">
        <v>2375</v>
      </c>
      <c r="Q500" s="2" t="s">
        <v>2467</v>
      </c>
      <c r="R500" s="2">
        <v>55438</v>
      </c>
      <c r="S500" s="2">
        <v>44.800666</v>
      </c>
      <c r="T500" s="2">
        <v>-93.361986000000002</v>
      </c>
      <c r="W500" s="5"/>
      <c r="AC500" s="2" t="s">
        <v>51</v>
      </c>
      <c r="AD500" s="2">
        <f t="shared" si="7"/>
        <v>2020</v>
      </c>
    </row>
    <row r="501" spans="1:30" ht="15.75" hidden="1" thickBot="1">
      <c r="A501" s="42" t="s">
        <v>2439</v>
      </c>
      <c r="B501" s="3">
        <v>44029</v>
      </c>
      <c r="C501" s="2" t="s">
        <v>2468</v>
      </c>
      <c r="D501" s="2" t="s">
        <v>528</v>
      </c>
      <c r="E501" s="2" t="s">
        <v>66</v>
      </c>
      <c r="F501" s="1" t="s">
        <v>34</v>
      </c>
      <c r="G501" s="2" t="s">
        <v>2469</v>
      </c>
      <c r="H501" s="2" t="s">
        <v>2470</v>
      </c>
      <c r="I501" s="84">
        <v>3000000</v>
      </c>
      <c r="N501" s="2" t="s">
        <v>253</v>
      </c>
      <c r="O501" s="7" t="s">
        <v>2084</v>
      </c>
      <c r="P501" s="2" t="s">
        <v>2375</v>
      </c>
      <c r="Q501" s="2" t="s">
        <v>2471</v>
      </c>
      <c r="R501" s="2">
        <v>55437</v>
      </c>
      <c r="S501" s="2">
        <v>44.857568000000001</v>
      </c>
      <c r="T501" s="2">
        <v>-93.343812999999997</v>
      </c>
      <c r="W501" s="5"/>
      <c r="AC501" s="2" t="s">
        <v>51</v>
      </c>
      <c r="AD501" s="2">
        <f t="shared" si="7"/>
        <v>2020</v>
      </c>
    </row>
    <row r="502" spans="1:30" hidden="1">
      <c r="A502" s="42" t="s">
        <v>2439</v>
      </c>
      <c r="B502" s="3">
        <v>44033</v>
      </c>
      <c r="C502" s="2" t="s">
        <v>1740</v>
      </c>
      <c r="D502" s="2" t="s">
        <v>90</v>
      </c>
      <c r="E502" s="1" t="s">
        <v>91</v>
      </c>
      <c r="F502" s="1" t="s">
        <v>34</v>
      </c>
      <c r="G502" s="2" t="s">
        <v>2472</v>
      </c>
      <c r="H502" s="2" t="s">
        <v>2473</v>
      </c>
      <c r="I502" s="10">
        <v>40000000</v>
      </c>
      <c r="J502" s="5">
        <v>150</v>
      </c>
      <c r="L502" s="5">
        <v>161000</v>
      </c>
      <c r="N502" s="2" t="s">
        <v>253</v>
      </c>
      <c r="O502" s="7" t="s">
        <v>2474</v>
      </c>
      <c r="P502" s="2" t="s">
        <v>285</v>
      </c>
      <c r="Q502" s="2" t="s">
        <v>2475</v>
      </c>
      <c r="R502" s="2">
        <v>55811</v>
      </c>
      <c r="S502" s="2">
        <v>46.821047</v>
      </c>
      <c r="T502" s="2">
        <v>-92.175359999999998</v>
      </c>
      <c r="U502" s="2" t="s">
        <v>378</v>
      </c>
      <c r="V502" s="2" t="s">
        <v>2476</v>
      </c>
      <c r="W502" s="5">
        <v>1950000</v>
      </c>
      <c r="AC502" s="2" t="s">
        <v>97</v>
      </c>
      <c r="AD502" s="2">
        <f t="shared" si="7"/>
        <v>2020</v>
      </c>
    </row>
    <row r="503" spans="1:30" hidden="1">
      <c r="A503" s="42" t="s">
        <v>2439</v>
      </c>
      <c r="B503" s="148">
        <v>44033</v>
      </c>
      <c r="C503" s="145" t="s">
        <v>2477</v>
      </c>
      <c r="D503" s="145" t="s">
        <v>2478</v>
      </c>
      <c r="E503" s="2" t="s">
        <v>2321</v>
      </c>
      <c r="F503" s="1" t="s">
        <v>34</v>
      </c>
      <c r="G503" s="2" t="s">
        <v>2479</v>
      </c>
      <c r="H503" s="160" t="s">
        <v>2079</v>
      </c>
      <c r="I503" s="135">
        <v>400000</v>
      </c>
      <c r="J503" s="5">
        <v>5</v>
      </c>
      <c r="L503" s="5">
        <v>3312</v>
      </c>
      <c r="N503" s="2" t="s">
        <v>384</v>
      </c>
      <c r="O503" s="7" t="s">
        <v>2480</v>
      </c>
      <c r="P503" s="2" t="s">
        <v>2481</v>
      </c>
      <c r="Q503" s="2" t="s">
        <v>2482</v>
      </c>
      <c r="R503" s="2">
        <v>56101</v>
      </c>
      <c r="S503" s="2">
        <v>43.873260999999999</v>
      </c>
      <c r="T503" s="2">
        <v>-95.111185000000006</v>
      </c>
      <c r="U503" s="2" t="s">
        <v>378</v>
      </c>
      <c r="V503" s="2" t="s">
        <v>1306</v>
      </c>
      <c r="W503" s="136" t="s">
        <v>2483</v>
      </c>
      <c r="AC503" s="2" t="s">
        <v>120</v>
      </c>
      <c r="AD503" s="2">
        <f t="shared" si="7"/>
        <v>2020</v>
      </c>
    </row>
    <row r="504" spans="1:30" hidden="1">
      <c r="A504" s="42" t="s">
        <v>2439</v>
      </c>
      <c r="B504" s="3">
        <v>44034</v>
      </c>
      <c r="C504" s="2" t="s">
        <v>2484</v>
      </c>
      <c r="D504" s="2" t="s">
        <v>528</v>
      </c>
      <c r="E504" s="2" t="s">
        <v>66</v>
      </c>
      <c r="F504" s="1" t="s">
        <v>34</v>
      </c>
      <c r="G504" s="2" t="s">
        <v>2485</v>
      </c>
      <c r="H504" s="160" t="s">
        <v>2079</v>
      </c>
      <c r="I504" s="11">
        <v>300000</v>
      </c>
      <c r="M504" s="2" t="s">
        <v>159</v>
      </c>
      <c r="N504" s="2" t="s">
        <v>86</v>
      </c>
      <c r="O504" s="7" t="s">
        <v>2084</v>
      </c>
      <c r="P504" s="2" t="s">
        <v>2375</v>
      </c>
      <c r="Q504" s="2" t="s">
        <v>2486</v>
      </c>
      <c r="R504" s="2">
        <v>55431</v>
      </c>
      <c r="S504" s="2">
        <v>44.858280000000001</v>
      </c>
      <c r="T504" s="2">
        <v>-93.325306999999995</v>
      </c>
      <c r="W504" s="5"/>
      <c r="AC504" s="2" t="s">
        <v>51</v>
      </c>
      <c r="AD504" s="2">
        <f t="shared" si="7"/>
        <v>2020</v>
      </c>
    </row>
    <row r="505" spans="1:30" hidden="1">
      <c r="A505" s="42" t="s">
        <v>2439</v>
      </c>
      <c r="B505" s="3">
        <v>44035</v>
      </c>
      <c r="C505" s="2" t="s">
        <v>2487</v>
      </c>
      <c r="D505" s="2" t="s">
        <v>2488</v>
      </c>
      <c r="E505" s="2" t="s">
        <v>677</v>
      </c>
      <c r="F505" s="1" t="s">
        <v>34</v>
      </c>
      <c r="G505" s="2" t="s">
        <v>2489</v>
      </c>
      <c r="H505" s="2" t="s">
        <v>2312</v>
      </c>
      <c r="I505" s="11">
        <v>4550000</v>
      </c>
      <c r="M505" s="2" t="s">
        <v>574</v>
      </c>
      <c r="N505" s="2" t="s">
        <v>48</v>
      </c>
      <c r="O505" s="7" t="s">
        <v>2490</v>
      </c>
      <c r="P505" s="2" t="s">
        <v>647</v>
      </c>
      <c r="Q505" s="2" t="s">
        <v>2491</v>
      </c>
      <c r="R505" s="2">
        <v>55038</v>
      </c>
      <c r="S505" s="2">
        <v>45.162677000000002</v>
      </c>
      <c r="T505" s="2">
        <v>-93.023909000000003</v>
      </c>
      <c r="W505" s="5"/>
      <c r="AC505" s="2" t="s">
        <v>51</v>
      </c>
      <c r="AD505" s="2">
        <f t="shared" si="7"/>
        <v>2020</v>
      </c>
    </row>
    <row r="506" spans="1:30" hidden="1">
      <c r="A506" s="42" t="s">
        <v>2439</v>
      </c>
      <c r="B506" s="3">
        <v>44037</v>
      </c>
      <c r="C506" s="2" t="s">
        <v>592</v>
      </c>
      <c r="D506" s="2" t="s">
        <v>776</v>
      </c>
      <c r="E506" s="2" t="s">
        <v>66</v>
      </c>
      <c r="F506" s="1" t="s">
        <v>34</v>
      </c>
      <c r="G506" s="2" t="s">
        <v>2492</v>
      </c>
      <c r="H506" s="2" t="s">
        <v>2214</v>
      </c>
      <c r="I506" s="10"/>
      <c r="L506" s="5">
        <v>65000</v>
      </c>
      <c r="N506" s="2" t="s">
        <v>253</v>
      </c>
      <c r="O506" s="7" t="s">
        <v>2493</v>
      </c>
      <c r="P506" s="2" t="s">
        <v>285</v>
      </c>
      <c r="R506" s="2">
        <v>55424</v>
      </c>
      <c r="S506" s="2">
        <v>44.889687000000002</v>
      </c>
      <c r="T506" s="2">
        <v>-93.349948999999995</v>
      </c>
      <c r="W506" s="5"/>
      <c r="AC506" s="2" t="s">
        <v>51</v>
      </c>
      <c r="AD506" s="2">
        <f t="shared" si="7"/>
        <v>2020</v>
      </c>
    </row>
    <row r="507" spans="1:30" hidden="1">
      <c r="A507" s="42" t="s">
        <v>2439</v>
      </c>
      <c r="B507" s="3">
        <v>44040</v>
      </c>
      <c r="C507" s="2" t="s">
        <v>2494</v>
      </c>
      <c r="D507" s="2" t="s">
        <v>2113</v>
      </c>
      <c r="E507" s="2" t="s">
        <v>99</v>
      </c>
      <c r="F507" s="1" t="s">
        <v>34</v>
      </c>
      <c r="G507" s="2" t="s">
        <v>2495</v>
      </c>
      <c r="I507" s="11"/>
      <c r="J507" s="5">
        <v>60</v>
      </c>
      <c r="M507" s="2" t="s">
        <v>684</v>
      </c>
      <c r="N507" s="2" t="s">
        <v>48</v>
      </c>
      <c r="O507" s="7" t="s">
        <v>2496</v>
      </c>
      <c r="P507" s="2" t="s">
        <v>285</v>
      </c>
      <c r="R507" s="2">
        <v>55101</v>
      </c>
      <c r="S507" s="2">
        <v>44.951483000000003</v>
      </c>
      <c r="T507" s="2">
        <v>-93.090648999999999</v>
      </c>
      <c r="U507" s="2" t="s">
        <v>378</v>
      </c>
      <c r="V507" s="2" t="s">
        <v>2497</v>
      </c>
      <c r="W507" s="5">
        <v>765000000</v>
      </c>
      <c r="AC507" s="2" t="s">
        <v>51</v>
      </c>
      <c r="AD507" s="2">
        <f t="shared" si="7"/>
        <v>2020</v>
      </c>
    </row>
    <row r="508" spans="1:30" hidden="1">
      <c r="A508" s="42" t="s">
        <v>2439</v>
      </c>
      <c r="B508" s="3">
        <v>44041</v>
      </c>
      <c r="C508" s="2" t="s">
        <v>2498</v>
      </c>
      <c r="D508" s="2" t="s">
        <v>65</v>
      </c>
      <c r="E508" s="2" t="s">
        <v>66</v>
      </c>
      <c r="F508" s="1" t="s">
        <v>34</v>
      </c>
      <c r="G508" s="2" t="s">
        <v>2499</v>
      </c>
      <c r="I508" s="10"/>
      <c r="M508" s="2" t="s">
        <v>531</v>
      </c>
      <c r="N508" s="2" t="s">
        <v>300</v>
      </c>
      <c r="O508" s="7" t="s">
        <v>2500</v>
      </c>
      <c r="P508" s="2" t="s">
        <v>2333</v>
      </c>
      <c r="R508" s="2">
        <v>55401</v>
      </c>
      <c r="S508" s="2">
        <v>44.984577000000002</v>
      </c>
      <c r="T508" s="2">
        <v>-93.269097000000002</v>
      </c>
      <c r="W508" s="5"/>
      <c r="AC508" s="2" t="s">
        <v>51</v>
      </c>
      <c r="AD508" s="2">
        <f t="shared" si="7"/>
        <v>2020</v>
      </c>
    </row>
    <row r="509" spans="1:30" hidden="1">
      <c r="A509" s="42" t="s">
        <v>2439</v>
      </c>
      <c r="B509" s="3">
        <v>44043</v>
      </c>
      <c r="C509" s="2" t="s">
        <v>2501</v>
      </c>
      <c r="D509" s="2" t="s">
        <v>986</v>
      </c>
      <c r="E509" s="2" t="s">
        <v>54</v>
      </c>
      <c r="F509" s="1" t="s">
        <v>34</v>
      </c>
      <c r="G509" s="2" t="s">
        <v>2502</v>
      </c>
      <c r="H509" s="2" t="s">
        <v>2503</v>
      </c>
      <c r="I509" s="10"/>
      <c r="L509" s="5">
        <v>129018</v>
      </c>
      <c r="M509" s="2" t="s">
        <v>148</v>
      </c>
      <c r="N509" s="2" t="s">
        <v>48</v>
      </c>
      <c r="O509" s="7" t="s">
        <v>2504</v>
      </c>
      <c r="P509" s="2" t="s">
        <v>647</v>
      </c>
      <c r="Q509" s="2" t="s">
        <v>2505</v>
      </c>
      <c r="R509" s="2">
        <v>55317</v>
      </c>
      <c r="S509" s="2">
        <v>44.848255000000002</v>
      </c>
      <c r="T509" s="2">
        <v>-93.584491</v>
      </c>
      <c r="W509" s="5"/>
      <c r="AC509" s="2" t="s">
        <v>51</v>
      </c>
      <c r="AD509" s="2">
        <f t="shared" si="7"/>
        <v>2020</v>
      </c>
    </row>
    <row r="510" spans="1:30" hidden="1">
      <c r="A510" s="42" t="s">
        <v>2439</v>
      </c>
      <c r="B510" s="3">
        <v>44048</v>
      </c>
      <c r="C510" s="2" t="s">
        <v>1699</v>
      </c>
      <c r="D510" s="2" t="s">
        <v>448</v>
      </c>
      <c r="E510" s="2" t="s">
        <v>66</v>
      </c>
      <c r="F510" s="1" t="s">
        <v>34</v>
      </c>
      <c r="G510" s="2" t="s">
        <v>2506</v>
      </c>
      <c r="I510" s="10"/>
      <c r="J510" s="5">
        <v>68</v>
      </c>
      <c r="M510" s="2" t="s">
        <v>85</v>
      </c>
      <c r="N510" s="2" t="s">
        <v>86</v>
      </c>
      <c r="O510" s="7" t="s">
        <v>2507</v>
      </c>
      <c r="P510" s="2" t="s">
        <v>965</v>
      </c>
      <c r="Q510" s="2" t="s">
        <v>2508</v>
      </c>
      <c r="R510" s="2">
        <v>55347</v>
      </c>
      <c r="S510" s="2">
        <v>44.841734000000002</v>
      </c>
      <c r="T510" s="2">
        <v>-93.441980999999998</v>
      </c>
      <c r="W510" s="5"/>
      <c r="AC510" s="2" t="s">
        <v>51</v>
      </c>
      <c r="AD510" s="2">
        <f t="shared" si="7"/>
        <v>2020</v>
      </c>
    </row>
    <row r="511" spans="1:30" hidden="1">
      <c r="A511" s="42" t="s">
        <v>2439</v>
      </c>
      <c r="B511" s="3">
        <v>44048</v>
      </c>
      <c r="C511" s="1" t="s">
        <v>1634</v>
      </c>
      <c r="D511" s="2" t="s">
        <v>1302</v>
      </c>
      <c r="E511" s="2" t="s">
        <v>66</v>
      </c>
      <c r="F511" s="1" t="s">
        <v>34</v>
      </c>
      <c r="G511" s="2" t="s">
        <v>2509</v>
      </c>
      <c r="I511" s="10"/>
      <c r="J511" s="5">
        <v>10</v>
      </c>
      <c r="M511" s="1" t="s">
        <v>1636</v>
      </c>
      <c r="N511" s="1" t="s">
        <v>140</v>
      </c>
      <c r="O511" s="7" t="s">
        <v>2510</v>
      </c>
      <c r="P511" s="2" t="s">
        <v>965</v>
      </c>
      <c r="Q511" s="2" t="s">
        <v>2511</v>
      </c>
      <c r="R511" s="2">
        <v>55416</v>
      </c>
      <c r="S511" s="2">
        <v>44.971356999999998</v>
      </c>
      <c r="T511" s="2">
        <v>-93.350282000000007</v>
      </c>
      <c r="W511" s="5"/>
      <c r="AC511" s="2" t="s">
        <v>51</v>
      </c>
      <c r="AD511" s="2">
        <f t="shared" si="7"/>
        <v>2020</v>
      </c>
    </row>
    <row r="512" spans="1:30" hidden="1">
      <c r="A512" s="42" t="s">
        <v>2439</v>
      </c>
      <c r="B512" s="3">
        <v>44048</v>
      </c>
      <c r="C512" s="2" t="s">
        <v>2512</v>
      </c>
      <c r="D512" s="2" t="s">
        <v>776</v>
      </c>
      <c r="E512" s="2" t="s">
        <v>66</v>
      </c>
      <c r="F512" s="1" t="s">
        <v>34</v>
      </c>
      <c r="G512" s="2" t="s">
        <v>2513</v>
      </c>
      <c r="H512" s="2" t="s">
        <v>1359</v>
      </c>
      <c r="I512" s="10"/>
      <c r="N512" s="2" t="s">
        <v>86</v>
      </c>
      <c r="O512" s="7" t="s">
        <v>2514</v>
      </c>
      <c r="P512" s="1" t="s">
        <v>1327</v>
      </c>
      <c r="Q512" s="2" t="s">
        <v>2515</v>
      </c>
      <c r="R512" s="2">
        <v>55435</v>
      </c>
      <c r="S512" s="2">
        <v>44.862889000000003</v>
      </c>
      <c r="T512" s="2">
        <v>-93.331794000000002</v>
      </c>
      <c r="W512" s="5"/>
      <c r="AC512" s="2" t="s">
        <v>51</v>
      </c>
      <c r="AD512" s="2">
        <f t="shared" si="7"/>
        <v>2020</v>
      </c>
    </row>
    <row r="513" spans="1:30" hidden="1">
      <c r="A513" s="42" t="s">
        <v>2439</v>
      </c>
      <c r="B513" s="3">
        <v>44048</v>
      </c>
      <c r="C513" s="2" t="s">
        <v>862</v>
      </c>
      <c r="D513" s="2" t="s">
        <v>65</v>
      </c>
      <c r="E513" s="2" t="s">
        <v>66</v>
      </c>
      <c r="F513" s="1" t="s">
        <v>34</v>
      </c>
      <c r="G513" s="2" t="s">
        <v>2516</v>
      </c>
      <c r="I513" s="10"/>
      <c r="N513" s="2" t="s">
        <v>86</v>
      </c>
      <c r="O513" s="7" t="s">
        <v>2517</v>
      </c>
      <c r="P513" s="2" t="s">
        <v>965</v>
      </c>
      <c r="Q513" s="2" t="s">
        <v>2518</v>
      </c>
      <c r="R513" s="2">
        <v>55415</v>
      </c>
      <c r="S513" s="2">
        <v>44.977536999999998</v>
      </c>
      <c r="T513" s="2">
        <v>-93.263637000000003</v>
      </c>
      <c r="W513" s="5"/>
      <c r="AC513" s="2" t="s">
        <v>51</v>
      </c>
      <c r="AD513" s="2">
        <f t="shared" si="7"/>
        <v>2020</v>
      </c>
    </row>
    <row r="514" spans="1:30" hidden="1">
      <c r="A514" s="42" t="s">
        <v>2439</v>
      </c>
      <c r="B514" s="3">
        <v>44049</v>
      </c>
      <c r="C514" s="2" t="s">
        <v>2519</v>
      </c>
      <c r="D514" s="2" t="s">
        <v>65</v>
      </c>
      <c r="E514" s="2" t="s">
        <v>66</v>
      </c>
      <c r="F514" s="1" t="s">
        <v>34</v>
      </c>
      <c r="G514" s="2" t="s">
        <v>2520</v>
      </c>
      <c r="I514" s="10"/>
      <c r="J514" s="5">
        <v>83</v>
      </c>
      <c r="M514" s="2" t="s">
        <v>2521</v>
      </c>
      <c r="N514" s="1" t="s">
        <v>140</v>
      </c>
      <c r="O514" s="7" t="s">
        <v>2522</v>
      </c>
      <c r="P514" s="2" t="s">
        <v>965</v>
      </c>
      <c r="Q514" s="2" t="s">
        <v>2523</v>
      </c>
      <c r="R514" s="2">
        <v>55402</v>
      </c>
      <c r="S514" s="2">
        <v>44.972417999999998</v>
      </c>
      <c r="T514" s="2">
        <v>-93.269480000000001</v>
      </c>
      <c r="W514" s="5"/>
      <c r="AC514" s="2" t="s">
        <v>51</v>
      </c>
      <c r="AD514" s="2">
        <f t="shared" ref="AD514:AD577" si="8">YEAR(B514)</f>
        <v>2020</v>
      </c>
    </row>
    <row r="515" spans="1:30" hidden="1">
      <c r="A515" s="42" t="s">
        <v>2439</v>
      </c>
      <c r="B515" s="3">
        <v>44049</v>
      </c>
      <c r="C515" s="2" t="s">
        <v>1821</v>
      </c>
      <c r="D515" s="2" t="s">
        <v>65</v>
      </c>
      <c r="E515" s="2" t="s">
        <v>66</v>
      </c>
      <c r="F515" s="1" t="s">
        <v>34</v>
      </c>
      <c r="G515" s="2" t="s">
        <v>2524</v>
      </c>
      <c r="I515" s="11"/>
      <c r="J515" s="5">
        <v>64</v>
      </c>
      <c r="M515" s="2" t="s">
        <v>2521</v>
      </c>
      <c r="N515" s="1" t="s">
        <v>140</v>
      </c>
      <c r="O515" s="7" t="s">
        <v>2525</v>
      </c>
      <c r="P515" s="2" t="s">
        <v>965</v>
      </c>
      <c r="Q515" s="2" t="s">
        <v>2526</v>
      </c>
      <c r="R515" s="2">
        <v>55402</v>
      </c>
      <c r="S515" s="2">
        <v>44.977772000000002</v>
      </c>
      <c r="T515" s="2">
        <v>-93.270821999999995</v>
      </c>
      <c r="W515" s="5"/>
      <c r="AC515" s="2" t="s">
        <v>51</v>
      </c>
      <c r="AD515" s="2">
        <f t="shared" si="8"/>
        <v>2020</v>
      </c>
    </row>
    <row r="516" spans="1:30" hidden="1">
      <c r="A516" s="42" t="s">
        <v>2439</v>
      </c>
      <c r="B516" s="3">
        <v>44049</v>
      </c>
      <c r="C516" s="2" t="s">
        <v>1224</v>
      </c>
      <c r="D516" s="2" t="s">
        <v>467</v>
      </c>
      <c r="E516" s="2" t="s">
        <v>468</v>
      </c>
      <c r="F516" s="1" t="s">
        <v>34</v>
      </c>
      <c r="G516" s="2" t="s">
        <v>2527</v>
      </c>
      <c r="I516" s="55"/>
      <c r="J516" s="5">
        <v>7</v>
      </c>
      <c r="N516" s="2" t="s">
        <v>48</v>
      </c>
      <c r="O516" s="7" t="s">
        <v>2528</v>
      </c>
      <c r="P516" s="2" t="s">
        <v>965</v>
      </c>
      <c r="Q516" s="2" t="s">
        <v>2529</v>
      </c>
      <c r="R516" s="2">
        <v>55021</v>
      </c>
      <c r="S516" s="2">
        <v>44.330658</v>
      </c>
      <c r="T516" s="2">
        <v>-93.291892000000004</v>
      </c>
      <c r="W516" s="5"/>
      <c r="AC516" s="2" t="s">
        <v>120</v>
      </c>
      <c r="AD516" s="2">
        <f t="shared" si="8"/>
        <v>2020</v>
      </c>
    </row>
    <row r="517" spans="1:30" hidden="1">
      <c r="A517" s="42" t="s">
        <v>2439</v>
      </c>
      <c r="B517" s="3">
        <v>44049</v>
      </c>
      <c r="C517" s="2" t="s">
        <v>1840</v>
      </c>
      <c r="D517" s="2" t="s">
        <v>32</v>
      </c>
      <c r="E517" s="2" t="s">
        <v>33</v>
      </c>
      <c r="F517" s="1" t="s">
        <v>34</v>
      </c>
      <c r="G517" s="2" t="s">
        <v>2530</v>
      </c>
      <c r="I517" s="10"/>
      <c r="J517" s="29">
        <v>43</v>
      </c>
      <c r="M517" s="2" t="s">
        <v>240</v>
      </c>
      <c r="N517" s="2" t="s">
        <v>241</v>
      </c>
      <c r="O517" s="7" t="s">
        <v>2531</v>
      </c>
      <c r="P517" s="2" t="s">
        <v>965</v>
      </c>
      <c r="Q517" s="2" t="s">
        <v>2532</v>
      </c>
      <c r="R517" s="2">
        <v>56201</v>
      </c>
      <c r="S517" s="2">
        <v>45.138036</v>
      </c>
      <c r="T517" s="2">
        <v>-95.043182000000002</v>
      </c>
      <c r="W517" s="5"/>
      <c r="AC517" s="2" t="s">
        <v>41</v>
      </c>
      <c r="AD517" s="2">
        <f t="shared" si="8"/>
        <v>2020</v>
      </c>
    </row>
    <row r="518" spans="1:30" hidden="1">
      <c r="A518" s="42" t="s">
        <v>2439</v>
      </c>
      <c r="B518" s="3">
        <v>44053</v>
      </c>
      <c r="C518" s="2" t="s">
        <v>2533</v>
      </c>
      <c r="D518" s="2" t="s">
        <v>2113</v>
      </c>
      <c r="E518" s="2" t="s">
        <v>99</v>
      </c>
      <c r="F518" s="1" t="s">
        <v>34</v>
      </c>
      <c r="G518" s="2" t="s">
        <v>2534</v>
      </c>
      <c r="H518" s="2" t="s">
        <v>2079</v>
      </c>
      <c r="I518" s="10">
        <v>10000000</v>
      </c>
      <c r="M518" s="2" t="s">
        <v>2535</v>
      </c>
      <c r="N518" s="2" t="s">
        <v>378</v>
      </c>
      <c r="O518" s="7" t="s">
        <v>2536</v>
      </c>
      <c r="P518" s="2" t="s">
        <v>965</v>
      </c>
      <c r="Q518" s="2" t="s">
        <v>2537</v>
      </c>
      <c r="R518" s="2">
        <v>55101</v>
      </c>
      <c r="S518" s="2">
        <v>44.946294999999999</v>
      </c>
      <c r="T518" s="2">
        <v>-93.091271000000006</v>
      </c>
      <c r="W518" s="5"/>
      <c r="AC518" s="2" t="s">
        <v>51</v>
      </c>
      <c r="AD518" s="2">
        <f t="shared" si="8"/>
        <v>2020</v>
      </c>
    </row>
    <row r="519" spans="1:30" hidden="1">
      <c r="A519" s="42" t="s">
        <v>2439</v>
      </c>
      <c r="B519" s="3">
        <v>44054</v>
      </c>
      <c r="C519" s="2" t="s">
        <v>2538</v>
      </c>
      <c r="D519" s="2" t="s">
        <v>2113</v>
      </c>
      <c r="E519" s="2" t="s">
        <v>99</v>
      </c>
      <c r="F519" s="1" t="s">
        <v>34</v>
      </c>
      <c r="G519" s="2" t="s">
        <v>2539</v>
      </c>
      <c r="H519" s="2" t="s">
        <v>2540</v>
      </c>
      <c r="I519" s="10">
        <v>3075000</v>
      </c>
      <c r="L519" s="5">
        <v>50056</v>
      </c>
      <c r="M519" s="2" t="s">
        <v>496</v>
      </c>
      <c r="N519" s="2" t="s">
        <v>48</v>
      </c>
      <c r="O519" s="7" t="s">
        <v>2541</v>
      </c>
      <c r="P519" s="2" t="s">
        <v>647</v>
      </c>
      <c r="Q519" s="2" t="s">
        <v>2542</v>
      </c>
      <c r="R519" s="2">
        <v>55107</v>
      </c>
      <c r="S519" s="2">
        <v>44.942793999999999</v>
      </c>
      <c r="T519" s="2">
        <v>-93.078702000000007</v>
      </c>
      <c r="W519" s="5"/>
      <c r="AC519" s="2" t="s">
        <v>51</v>
      </c>
      <c r="AD519" s="2">
        <f t="shared" si="8"/>
        <v>2020</v>
      </c>
    </row>
    <row r="520" spans="1:30" hidden="1">
      <c r="A520" s="42" t="s">
        <v>2439</v>
      </c>
      <c r="B520" s="3">
        <v>44060</v>
      </c>
      <c r="C520" s="2" t="s">
        <v>2543</v>
      </c>
      <c r="D520" s="2" t="s">
        <v>65</v>
      </c>
      <c r="E520" s="2" t="s">
        <v>66</v>
      </c>
      <c r="F520" s="1" t="s">
        <v>34</v>
      </c>
      <c r="G520" s="2" t="s">
        <v>2544</v>
      </c>
      <c r="H520" s="2" t="s">
        <v>2079</v>
      </c>
      <c r="I520" s="11"/>
      <c r="J520" s="5">
        <v>100</v>
      </c>
      <c r="M520" s="2" t="s">
        <v>1636</v>
      </c>
      <c r="N520" s="1" t="s">
        <v>140</v>
      </c>
      <c r="O520" s="7" t="s">
        <v>2545</v>
      </c>
      <c r="P520" s="2" t="s">
        <v>965</v>
      </c>
      <c r="Q520" s="2" t="s">
        <v>2546</v>
      </c>
      <c r="R520" s="2">
        <v>55416</v>
      </c>
      <c r="S520" s="2">
        <v>44.947372999999999</v>
      </c>
      <c r="T520" s="2">
        <v>-93.318464000000006</v>
      </c>
      <c r="W520" s="5"/>
      <c r="AC520" s="2" t="s">
        <v>51</v>
      </c>
      <c r="AD520" s="2">
        <f t="shared" si="8"/>
        <v>2020</v>
      </c>
    </row>
    <row r="521" spans="1:30" hidden="1">
      <c r="A521" s="42" t="s">
        <v>2439</v>
      </c>
      <c r="B521" s="3">
        <v>44062</v>
      </c>
      <c r="C521" s="2" t="s">
        <v>2547</v>
      </c>
      <c r="D521" s="2" t="s">
        <v>32</v>
      </c>
      <c r="E521" s="2" t="s">
        <v>33</v>
      </c>
      <c r="F521" s="1" t="s">
        <v>34</v>
      </c>
      <c r="G521" s="2" t="s">
        <v>2548</v>
      </c>
      <c r="H521" s="2" t="s">
        <v>2549</v>
      </c>
      <c r="I521" s="11"/>
      <c r="L521" s="5">
        <v>20000</v>
      </c>
      <c r="M521" s="2" t="s">
        <v>57</v>
      </c>
      <c r="N521" s="2" t="s">
        <v>48</v>
      </c>
      <c r="O521" s="2" t="s">
        <v>2550</v>
      </c>
      <c r="P521" s="2" t="s">
        <v>1593</v>
      </c>
      <c r="Q521" s="2" t="s">
        <v>2551</v>
      </c>
      <c r="R521" s="2">
        <v>56201</v>
      </c>
      <c r="S521" s="2">
        <v>45.106842999999998</v>
      </c>
      <c r="T521" s="2">
        <v>-94.982282999999995</v>
      </c>
      <c r="W521" s="5"/>
      <c r="AC521" s="2" t="s">
        <v>41</v>
      </c>
      <c r="AD521" s="2">
        <f t="shared" si="8"/>
        <v>2020</v>
      </c>
    </row>
    <row r="522" spans="1:30" hidden="1">
      <c r="A522" s="42" t="s">
        <v>2439</v>
      </c>
      <c r="B522" s="3">
        <v>44063</v>
      </c>
      <c r="C522" s="2" t="s">
        <v>2552</v>
      </c>
      <c r="D522" s="2" t="s">
        <v>528</v>
      </c>
      <c r="E522" s="2" t="s">
        <v>66</v>
      </c>
      <c r="F522" s="1" t="s">
        <v>34</v>
      </c>
      <c r="G522" s="2" t="s">
        <v>2553</v>
      </c>
      <c r="H522" s="2" t="s">
        <v>2079</v>
      </c>
      <c r="I522" s="10">
        <v>4250000</v>
      </c>
      <c r="M522" s="1" t="s">
        <v>417</v>
      </c>
      <c r="N522" s="2" t="s">
        <v>48</v>
      </c>
      <c r="O522" s="7" t="s">
        <v>2084</v>
      </c>
      <c r="P522" s="2" t="s">
        <v>2375</v>
      </c>
      <c r="Q522" s="2" t="s">
        <v>2554</v>
      </c>
      <c r="R522" s="2">
        <v>55420</v>
      </c>
      <c r="S522" s="2">
        <v>44.842655000000001</v>
      </c>
      <c r="T522" s="2">
        <v>-93.284991000000005</v>
      </c>
      <c r="W522" s="5"/>
      <c r="AC522" s="2" t="s">
        <v>51</v>
      </c>
      <c r="AD522" s="2">
        <f t="shared" si="8"/>
        <v>2020</v>
      </c>
    </row>
    <row r="523" spans="1:30" hidden="1">
      <c r="A523" s="42" t="s">
        <v>2439</v>
      </c>
      <c r="B523" s="148">
        <v>44067</v>
      </c>
      <c r="C523" s="145" t="s">
        <v>2555</v>
      </c>
      <c r="D523" s="145" t="s">
        <v>2556</v>
      </c>
      <c r="E523" s="2" t="s">
        <v>66</v>
      </c>
      <c r="F523" s="1" t="s">
        <v>34</v>
      </c>
      <c r="G523" s="46" t="s">
        <v>2557</v>
      </c>
      <c r="H523" s="2" t="s">
        <v>1359</v>
      </c>
      <c r="I523" s="11">
        <v>40000000</v>
      </c>
      <c r="L523" s="5">
        <v>40000</v>
      </c>
      <c r="M523" s="2" t="s">
        <v>2521</v>
      </c>
      <c r="N523" s="2" t="s">
        <v>140</v>
      </c>
      <c r="O523" s="7" t="s">
        <v>2558</v>
      </c>
      <c r="P523" s="2" t="s">
        <v>965</v>
      </c>
      <c r="Q523" s="149" t="s">
        <v>2559</v>
      </c>
      <c r="R523" s="2">
        <v>55416</v>
      </c>
      <c r="S523" s="2">
        <v>44.934489999999997</v>
      </c>
      <c r="T523" s="2">
        <v>-93.352440000000001</v>
      </c>
      <c r="V523" s="150"/>
      <c r="W523" s="5"/>
      <c r="AC523" s="2" t="s">
        <v>51</v>
      </c>
      <c r="AD523" s="2">
        <f t="shared" si="8"/>
        <v>2020</v>
      </c>
    </row>
    <row r="524" spans="1:30" hidden="1">
      <c r="A524" s="42" t="s">
        <v>2439</v>
      </c>
      <c r="B524" s="3">
        <v>44071</v>
      </c>
      <c r="C524" s="2" t="s">
        <v>2465</v>
      </c>
      <c r="D524" s="2" t="s">
        <v>2560</v>
      </c>
      <c r="E524" s="2" t="s">
        <v>66</v>
      </c>
      <c r="F524" s="1" t="s">
        <v>34</v>
      </c>
      <c r="G524" s="2" t="s">
        <v>2561</v>
      </c>
      <c r="I524" s="55"/>
      <c r="N524" s="2" t="s">
        <v>253</v>
      </c>
      <c r="O524" s="7" t="s">
        <v>2562</v>
      </c>
      <c r="P524" s="2" t="s">
        <v>285</v>
      </c>
      <c r="Q524" s="2" t="s">
        <v>2563</v>
      </c>
      <c r="R524" s="2">
        <v>55423</v>
      </c>
      <c r="S524" s="2">
        <v>44.863926999999997</v>
      </c>
      <c r="T524" s="2">
        <v>-93.305441000000002</v>
      </c>
      <c r="W524" s="5"/>
      <c r="AC524" s="2" t="s">
        <v>51</v>
      </c>
      <c r="AD524" s="2">
        <f t="shared" si="8"/>
        <v>2020</v>
      </c>
    </row>
    <row r="525" spans="1:30" hidden="1">
      <c r="A525" s="42" t="s">
        <v>2439</v>
      </c>
      <c r="B525" s="3">
        <v>44077</v>
      </c>
      <c r="C525" s="2" t="s">
        <v>2564</v>
      </c>
      <c r="D525" s="2" t="s">
        <v>544</v>
      </c>
      <c r="E525" s="2" t="s">
        <v>66</v>
      </c>
      <c r="F525" s="1" t="s">
        <v>34</v>
      </c>
      <c r="G525" s="2" t="s">
        <v>2565</v>
      </c>
      <c r="H525" s="2" t="s">
        <v>2079</v>
      </c>
      <c r="I525" s="55"/>
      <c r="M525" s="2" t="s">
        <v>2109</v>
      </c>
      <c r="N525" s="1" t="s">
        <v>37</v>
      </c>
      <c r="O525" s="7" t="s">
        <v>2566</v>
      </c>
      <c r="P525" s="2" t="s">
        <v>965</v>
      </c>
      <c r="Q525" s="2" t="s">
        <v>2567</v>
      </c>
      <c r="R525" s="2">
        <v>55416</v>
      </c>
      <c r="S525" s="2">
        <v>44.971412000000001</v>
      </c>
      <c r="T525" s="2">
        <v>-93.359583000000001</v>
      </c>
      <c r="W525" s="5"/>
      <c r="AC525" s="2" t="s">
        <v>51</v>
      </c>
      <c r="AD525" s="2">
        <f t="shared" si="8"/>
        <v>2020</v>
      </c>
    </row>
    <row r="526" spans="1:30" hidden="1">
      <c r="A526" s="42" t="s">
        <v>2439</v>
      </c>
      <c r="B526" s="3">
        <v>44077</v>
      </c>
      <c r="C526" s="2" t="s">
        <v>2568</v>
      </c>
      <c r="D526" s="2" t="s">
        <v>2556</v>
      </c>
      <c r="E526" s="2" t="s">
        <v>66</v>
      </c>
      <c r="F526" s="1" t="s">
        <v>34</v>
      </c>
      <c r="G526" s="2" t="s">
        <v>2569</v>
      </c>
      <c r="H526" s="2" t="s">
        <v>2079</v>
      </c>
      <c r="I526" s="55"/>
      <c r="M526" s="2" t="s">
        <v>2109</v>
      </c>
      <c r="N526" s="1" t="s">
        <v>37</v>
      </c>
      <c r="O526" s="7" t="s">
        <v>2566</v>
      </c>
      <c r="P526" s="2" t="s">
        <v>965</v>
      </c>
      <c r="Q526" s="2" t="s">
        <v>2567</v>
      </c>
      <c r="R526" s="2">
        <v>55416</v>
      </c>
      <c r="S526" s="2">
        <v>44.971412000000001</v>
      </c>
      <c r="T526" s="2">
        <v>-93.359583000000001</v>
      </c>
      <c r="W526" s="5"/>
      <c r="AC526" s="2" t="s">
        <v>51</v>
      </c>
      <c r="AD526" s="2">
        <f t="shared" si="8"/>
        <v>2020</v>
      </c>
    </row>
    <row r="527" spans="1:30" hidden="1">
      <c r="A527" s="42" t="s">
        <v>2439</v>
      </c>
      <c r="B527" s="148">
        <v>44088</v>
      </c>
      <c r="C527" s="145" t="s">
        <v>2570</v>
      </c>
      <c r="D527" s="145" t="s">
        <v>381</v>
      </c>
      <c r="E527" s="2" t="s">
        <v>382</v>
      </c>
      <c r="F527" s="1" t="s">
        <v>34</v>
      </c>
      <c r="G527" s="2" t="s">
        <v>2571</v>
      </c>
      <c r="H527" s="2" t="s">
        <v>2312</v>
      </c>
      <c r="I527" s="137">
        <v>24000000</v>
      </c>
      <c r="J527" s="5">
        <v>5</v>
      </c>
      <c r="M527" s="1" t="s">
        <v>47</v>
      </c>
      <c r="N527" s="2" t="s">
        <v>48</v>
      </c>
      <c r="O527" s="7" t="s">
        <v>2572</v>
      </c>
      <c r="P527" s="2" t="s">
        <v>2573</v>
      </c>
      <c r="Q527" s="2" t="s">
        <v>2574</v>
      </c>
      <c r="R527" s="2">
        <v>56007</v>
      </c>
      <c r="S527" s="2">
        <v>43.625591</v>
      </c>
      <c r="T527" s="2">
        <v>-93.356857000000005</v>
      </c>
      <c r="U527" s="2" t="s">
        <v>378</v>
      </c>
      <c r="V527" s="2" t="s">
        <v>1306</v>
      </c>
      <c r="W527" s="136" t="s">
        <v>2575</v>
      </c>
      <c r="AC527" s="2" t="s">
        <v>120</v>
      </c>
      <c r="AD527" s="2">
        <f t="shared" si="8"/>
        <v>2020</v>
      </c>
    </row>
    <row r="528" spans="1:30" hidden="1">
      <c r="A528" s="42" t="s">
        <v>2439</v>
      </c>
      <c r="B528" s="3">
        <v>44088</v>
      </c>
      <c r="C528" s="2" t="s">
        <v>2576</v>
      </c>
      <c r="D528" s="2" t="s">
        <v>65</v>
      </c>
      <c r="E528" s="2" t="s">
        <v>66</v>
      </c>
      <c r="F528" s="1" t="s">
        <v>34</v>
      </c>
      <c r="G528" s="2" t="s">
        <v>2577</v>
      </c>
      <c r="H528" s="2" t="s">
        <v>2079</v>
      </c>
      <c r="I528" s="138">
        <v>10162030</v>
      </c>
      <c r="M528" s="2" t="s">
        <v>2521</v>
      </c>
      <c r="N528" s="1" t="s">
        <v>140</v>
      </c>
      <c r="O528" s="7" t="s">
        <v>2578</v>
      </c>
      <c r="P528" s="1" t="s">
        <v>1327</v>
      </c>
      <c r="Q528" s="2" t="s">
        <v>2579</v>
      </c>
      <c r="R528" s="2">
        <v>55401</v>
      </c>
      <c r="S528" s="2">
        <v>44.984577000000002</v>
      </c>
      <c r="T528" s="2">
        <v>-93.269097000000002</v>
      </c>
      <c r="U528" s="2" t="s">
        <v>378</v>
      </c>
      <c r="V528" s="2" t="s">
        <v>2580</v>
      </c>
      <c r="W528" s="29">
        <v>1000000</v>
      </c>
      <c r="AC528" s="2" t="s">
        <v>51</v>
      </c>
      <c r="AD528" s="2">
        <f t="shared" si="8"/>
        <v>2020</v>
      </c>
    </row>
    <row r="529" spans="1:30" hidden="1">
      <c r="A529" s="42" t="s">
        <v>2439</v>
      </c>
      <c r="B529" s="93">
        <v>44089</v>
      </c>
      <c r="C529" s="2" t="s">
        <v>2581</v>
      </c>
      <c r="D529" s="47" t="s">
        <v>203</v>
      </c>
      <c r="E529" s="2" t="s">
        <v>74</v>
      </c>
      <c r="F529" s="1" t="s">
        <v>34</v>
      </c>
      <c r="G529" s="2" t="s">
        <v>2582</v>
      </c>
      <c r="H529" s="2" t="s">
        <v>2159</v>
      </c>
      <c r="I529" s="89">
        <v>3920750</v>
      </c>
      <c r="J529" s="85">
        <v>14</v>
      </c>
      <c r="L529" s="5">
        <v>22000</v>
      </c>
      <c r="M529" s="2" t="s">
        <v>684</v>
      </c>
      <c r="N529" s="2" t="s">
        <v>48</v>
      </c>
      <c r="O529" s="7" t="s">
        <v>2583</v>
      </c>
      <c r="P529" s="2" t="s">
        <v>2584</v>
      </c>
      <c r="Q529" s="2" t="s">
        <v>2585</v>
      </c>
      <c r="R529" s="2">
        <v>55121</v>
      </c>
      <c r="S529" s="45">
        <v>44.852012999999999</v>
      </c>
      <c r="T529" s="45">
        <v>-93.113997999999995</v>
      </c>
      <c r="U529" s="2" t="s">
        <v>378</v>
      </c>
      <c r="V529" s="47" t="s">
        <v>1306</v>
      </c>
      <c r="W529" s="161">
        <v>165000</v>
      </c>
      <c r="AC529" s="2" t="s">
        <v>51</v>
      </c>
      <c r="AD529" s="2">
        <f t="shared" si="8"/>
        <v>2020</v>
      </c>
    </row>
    <row r="530" spans="1:30" hidden="1">
      <c r="A530" s="42" t="s">
        <v>2439</v>
      </c>
      <c r="B530" s="3">
        <v>44089</v>
      </c>
      <c r="C530" s="2" t="s">
        <v>2586</v>
      </c>
      <c r="D530" s="2" t="s">
        <v>2587</v>
      </c>
      <c r="E530" s="2" t="s">
        <v>246</v>
      </c>
      <c r="F530" s="1" t="s">
        <v>34</v>
      </c>
      <c r="G530" s="2" t="s">
        <v>2588</v>
      </c>
      <c r="I530" s="10"/>
      <c r="M530" s="2" t="s">
        <v>2109</v>
      </c>
      <c r="N530" s="1" t="s">
        <v>37</v>
      </c>
      <c r="O530" s="7" t="s">
        <v>2589</v>
      </c>
      <c r="P530" s="2" t="s">
        <v>965</v>
      </c>
      <c r="R530" s="2">
        <v>56560</v>
      </c>
      <c r="S530" s="2">
        <v>46.842027999999999</v>
      </c>
      <c r="T530" s="2">
        <v>-96.735562999999999</v>
      </c>
      <c r="W530" s="29"/>
      <c r="X530" s="2" t="s">
        <v>2319</v>
      </c>
      <c r="Y530" s="2" t="s">
        <v>2590</v>
      </c>
      <c r="Z530" s="2" t="s">
        <v>2591</v>
      </c>
      <c r="AA530" s="2" t="s">
        <v>2592</v>
      </c>
      <c r="AB530" s="2" t="s">
        <v>423</v>
      </c>
      <c r="AC530" s="2" t="s">
        <v>41</v>
      </c>
      <c r="AD530" s="2">
        <f t="shared" si="8"/>
        <v>2020</v>
      </c>
    </row>
    <row r="531" spans="1:30" hidden="1">
      <c r="A531" s="42" t="s">
        <v>2439</v>
      </c>
      <c r="B531" s="3">
        <v>44089</v>
      </c>
      <c r="C531" s="2" t="s">
        <v>2586</v>
      </c>
      <c r="D531" s="2" t="s">
        <v>111</v>
      </c>
      <c r="E531" s="2" t="s">
        <v>112</v>
      </c>
      <c r="F531" s="1" t="s">
        <v>34</v>
      </c>
      <c r="G531" s="2" t="s">
        <v>2588</v>
      </c>
      <c r="I531" s="10"/>
      <c r="M531" s="2" t="s">
        <v>2109</v>
      </c>
      <c r="N531" s="1" t="s">
        <v>37</v>
      </c>
      <c r="O531" s="7" t="s">
        <v>2589</v>
      </c>
      <c r="P531" s="2" t="s">
        <v>965</v>
      </c>
      <c r="R531" s="2">
        <v>55901</v>
      </c>
      <c r="S531" s="2">
        <v>44.075285000000001</v>
      </c>
      <c r="T531" s="2">
        <v>-92.516915999999995</v>
      </c>
      <c r="W531" s="29"/>
      <c r="X531" s="2" t="s">
        <v>2319</v>
      </c>
      <c r="Y531" s="2" t="s">
        <v>2590</v>
      </c>
      <c r="Z531" s="2" t="s">
        <v>2591</v>
      </c>
      <c r="AA531" s="2" t="s">
        <v>2592</v>
      </c>
      <c r="AB531" s="2" t="s">
        <v>423</v>
      </c>
      <c r="AC531" s="2" t="s">
        <v>120</v>
      </c>
      <c r="AD531" s="2">
        <f t="shared" si="8"/>
        <v>2020</v>
      </c>
    </row>
    <row r="532" spans="1:30" hidden="1">
      <c r="A532" s="42" t="s">
        <v>2439</v>
      </c>
      <c r="B532" s="3">
        <v>44089</v>
      </c>
      <c r="C532" s="2" t="s">
        <v>2586</v>
      </c>
      <c r="D532" s="2" t="s">
        <v>528</v>
      </c>
      <c r="E532" s="2" t="s">
        <v>1253</v>
      </c>
      <c r="F532" s="1" t="s">
        <v>34</v>
      </c>
      <c r="G532" s="2" t="s">
        <v>2588</v>
      </c>
      <c r="I532" s="10"/>
      <c r="M532" s="2" t="s">
        <v>2109</v>
      </c>
      <c r="N532" s="1" t="s">
        <v>37</v>
      </c>
      <c r="O532" s="7" t="s">
        <v>2589</v>
      </c>
      <c r="P532" s="2" t="s">
        <v>965</v>
      </c>
      <c r="R532" s="2">
        <v>55917</v>
      </c>
      <c r="S532" s="2">
        <v>43.866630000000001</v>
      </c>
      <c r="T532" s="2">
        <v>-93.051029999999997</v>
      </c>
      <c r="W532" s="29"/>
      <c r="X532" s="2" t="s">
        <v>2319</v>
      </c>
      <c r="Y532" s="2" t="s">
        <v>2590</v>
      </c>
      <c r="Z532" s="2" t="s">
        <v>2591</v>
      </c>
      <c r="AA532" s="2" t="s">
        <v>2592</v>
      </c>
      <c r="AB532" s="2" t="s">
        <v>423</v>
      </c>
      <c r="AC532" s="2" t="s">
        <v>120</v>
      </c>
      <c r="AD532" s="2">
        <f t="shared" si="8"/>
        <v>2020</v>
      </c>
    </row>
    <row r="533" spans="1:30" hidden="1">
      <c r="A533" s="42" t="s">
        <v>2439</v>
      </c>
      <c r="B533" s="3">
        <v>44089</v>
      </c>
      <c r="C533" s="2" t="s">
        <v>2586</v>
      </c>
      <c r="D533" s="2" t="s">
        <v>65</v>
      </c>
      <c r="E533" s="2" t="s">
        <v>66</v>
      </c>
      <c r="F533" s="1" t="s">
        <v>34</v>
      </c>
      <c r="G533" s="2" t="s">
        <v>2588</v>
      </c>
      <c r="I533" s="10"/>
      <c r="M533" s="2" t="s">
        <v>2109</v>
      </c>
      <c r="N533" s="1" t="s">
        <v>37</v>
      </c>
      <c r="O533" s="7" t="s">
        <v>2589</v>
      </c>
      <c r="P533" s="2" t="s">
        <v>965</v>
      </c>
      <c r="R533" s="2">
        <v>55401</v>
      </c>
      <c r="S533" s="2">
        <v>44.984577000000002</v>
      </c>
      <c r="T533" s="2">
        <v>-93.269097000000002</v>
      </c>
      <c r="W533" s="29"/>
      <c r="X533" s="2" t="s">
        <v>2319</v>
      </c>
      <c r="Y533" s="2" t="s">
        <v>2590</v>
      </c>
      <c r="Z533" s="2" t="s">
        <v>2591</v>
      </c>
      <c r="AA533" s="2" t="s">
        <v>2592</v>
      </c>
      <c r="AB533" s="2" t="s">
        <v>423</v>
      </c>
      <c r="AC533" s="2" t="s">
        <v>51</v>
      </c>
      <c r="AD533" s="2">
        <f t="shared" si="8"/>
        <v>2020</v>
      </c>
    </row>
    <row r="534" spans="1:30" hidden="1">
      <c r="A534" s="42" t="s">
        <v>2439</v>
      </c>
      <c r="B534" s="3">
        <v>44089</v>
      </c>
      <c r="C534" s="2" t="s">
        <v>2586</v>
      </c>
      <c r="D534" s="2" t="s">
        <v>539</v>
      </c>
      <c r="E534" s="2" t="s">
        <v>74</v>
      </c>
      <c r="F534" s="1" t="s">
        <v>34</v>
      </c>
      <c r="G534" s="2" t="s">
        <v>2588</v>
      </c>
      <c r="I534" s="10"/>
      <c r="M534" s="2" t="s">
        <v>2109</v>
      </c>
      <c r="N534" s="1" t="s">
        <v>37</v>
      </c>
      <c r="O534" s="7" t="s">
        <v>2589</v>
      </c>
      <c r="P534" s="2" t="s">
        <v>965</v>
      </c>
      <c r="R534" s="2">
        <v>55306</v>
      </c>
      <c r="S534" s="2">
        <v>44.730944000000001</v>
      </c>
      <c r="T534" s="2">
        <v>-93.291381000000001</v>
      </c>
      <c r="W534" s="29"/>
      <c r="X534" s="2" t="s">
        <v>2319</v>
      </c>
      <c r="Y534" s="2" t="s">
        <v>2590</v>
      </c>
      <c r="Z534" s="2" t="s">
        <v>2591</v>
      </c>
      <c r="AA534" s="2" t="s">
        <v>2592</v>
      </c>
      <c r="AB534" s="2" t="s">
        <v>423</v>
      </c>
      <c r="AC534" s="2" t="s">
        <v>51</v>
      </c>
      <c r="AD534" s="2">
        <f t="shared" si="8"/>
        <v>2020</v>
      </c>
    </row>
    <row r="535" spans="1:30" hidden="1">
      <c r="A535" s="42" t="s">
        <v>2439</v>
      </c>
      <c r="B535" s="3">
        <v>44089</v>
      </c>
      <c r="C535" s="2" t="s">
        <v>2586</v>
      </c>
      <c r="D535" s="2" t="s">
        <v>800</v>
      </c>
      <c r="E535" s="2" t="s">
        <v>44</v>
      </c>
      <c r="F535" s="1" t="s">
        <v>34</v>
      </c>
      <c r="G535" s="2" t="s">
        <v>2588</v>
      </c>
      <c r="I535" s="10"/>
      <c r="M535" s="2" t="s">
        <v>2109</v>
      </c>
      <c r="N535" s="1" t="s">
        <v>37</v>
      </c>
      <c r="O535" s="7" t="s">
        <v>2589</v>
      </c>
      <c r="P535" s="2" t="s">
        <v>965</v>
      </c>
      <c r="R535" s="2">
        <v>55125</v>
      </c>
      <c r="S535" s="2">
        <v>44.923855000000003</v>
      </c>
      <c r="T535" s="2">
        <v>-92.959379999999996</v>
      </c>
      <c r="W535" s="29"/>
      <c r="X535" s="2" t="s">
        <v>2319</v>
      </c>
      <c r="Y535" s="2" t="s">
        <v>2590</v>
      </c>
      <c r="Z535" s="2" t="s">
        <v>2591</v>
      </c>
      <c r="AA535" s="2" t="s">
        <v>2592</v>
      </c>
      <c r="AB535" s="2" t="s">
        <v>423</v>
      </c>
      <c r="AC535" s="2" t="s">
        <v>51</v>
      </c>
      <c r="AD535" s="2">
        <f t="shared" si="8"/>
        <v>2020</v>
      </c>
    </row>
    <row r="536" spans="1:30" hidden="1">
      <c r="A536" s="42" t="s">
        <v>2439</v>
      </c>
      <c r="B536" s="3">
        <v>44097</v>
      </c>
      <c r="C536" s="2" t="s">
        <v>2593</v>
      </c>
      <c r="D536" s="2" t="s">
        <v>2594</v>
      </c>
      <c r="E536" s="2" t="s">
        <v>572</v>
      </c>
      <c r="F536" s="1" t="s">
        <v>34</v>
      </c>
      <c r="G536" s="2" t="s">
        <v>2595</v>
      </c>
      <c r="H536" s="2" t="s">
        <v>2312</v>
      </c>
      <c r="I536" s="10"/>
      <c r="L536" s="5">
        <v>6000</v>
      </c>
      <c r="M536" s="2" t="s">
        <v>57</v>
      </c>
      <c r="N536" s="2" t="s">
        <v>48</v>
      </c>
      <c r="O536" s="7" t="s">
        <v>2596</v>
      </c>
      <c r="P536" s="2" t="s">
        <v>2597</v>
      </c>
      <c r="Q536" s="2" t="s">
        <v>2598</v>
      </c>
      <c r="R536" s="2">
        <v>55328</v>
      </c>
      <c r="S536" s="2">
        <v>45.029896999999998</v>
      </c>
      <c r="T536" s="2">
        <v>-93.781816000000006</v>
      </c>
      <c r="W536" s="29"/>
      <c r="X536" s="2" t="s">
        <v>2319</v>
      </c>
      <c r="Y536" s="2" t="s">
        <v>2599</v>
      </c>
      <c r="AB536" s="2" t="s">
        <v>2600</v>
      </c>
      <c r="AC536" s="2" t="s">
        <v>41</v>
      </c>
      <c r="AD536" s="2">
        <f t="shared" si="8"/>
        <v>2020</v>
      </c>
    </row>
    <row r="537" spans="1:30" hidden="1">
      <c r="A537" s="42" t="s">
        <v>2439</v>
      </c>
      <c r="B537" s="3">
        <v>44099</v>
      </c>
      <c r="C537" s="2" t="s">
        <v>2601</v>
      </c>
      <c r="D537" s="2" t="s">
        <v>65</v>
      </c>
      <c r="E537" s="2" t="s">
        <v>66</v>
      </c>
      <c r="F537" s="1" t="s">
        <v>34</v>
      </c>
      <c r="G537" s="2" t="s">
        <v>2602</v>
      </c>
      <c r="I537" s="11"/>
      <c r="J537" s="5">
        <v>20</v>
      </c>
      <c r="M537" s="2" t="s">
        <v>531</v>
      </c>
      <c r="N537" s="2" t="s">
        <v>300</v>
      </c>
      <c r="O537" s="7" t="s">
        <v>2603</v>
      </c>
      <c r="P537" s="2" t="s">
        <v>965</v>
      </c>
      <c r="Q537" s="2" t="s">
        <v>2604</v>
      </c>
      <c r="R537" s="2">
        <v>55402</v>
      </c>
      <c r="S537" s="45">
        <v>44.975231999999998</v>
      </c>
      <c r="T537" s="45">
        <v>-93.270494999999997</v>
      </c>
      <c r="W537" s="5"/>
      <c r="AC537" s="2" t="s">
        <v>51</v>
      </c>
      <c r="AD537" s="2">
        <f t="shared" si="8"/>
        <v>2020</v>
      </c>
    </row>
    <row r="538" spans="1:30" ht="25.5" hidden="1" customHeight="1">
      <c r="A538" s="2" t="s">
        <v>2439</v>
      </c>
      <c r="B538" s="42">
        <v>44104</v>
      </c>
      <c r="C538" s="2" t="s">
        <v>2605</v>
      </c>
      <c r="D538" s="2" t="s">
        <v>546</v>
      </c>
      <c r="E538" s="2" t="s">
        <v>74</v>
      </c>
      <c r="F538" s="1" t="s">
        <v>34</v>
      </c>
      <c r="G538" s="2" t="s">
        <v>2606</v>
      </c>
      <c r="H538" s="2" t="s">
        <v>131</v>
      </c>
      <c r="I538" s="11"/>
      <c r="L538" s="5">
        <v>18288</v>
      </c>
      <c r="M538" s="2" t="s">
        <v>148</v>
      </c>
      <c r="N538" s="2" t="s">
        <v>48</v>
      </c>
      <c r="O538" s="7" t="s">
        <v>2607</v>
      </c>
      <c r="P538" s="2" t="s">
        <v>2608</v>
      </c>
      <c r="Q538" s="2" t="s">
        <v>2609</v>
      </c>
      <c r="R538" s="2">
        <v>55044</v>
      </c>
      <c r="S538" s="2">
        <v>44.644702000000002</v>
      </c>
      <c r="T538" s="2">
        <v>-93.234274999999997</v>
      </c>
      <c r="W538" s="11"/>
      <c r="AC538" s="2" t="s">
        <v>51</v>
      </c>
      <c r="AD538" s="2">
        <f t="shared" si="8"/>
        <v>2020</v>
      </c>
    </row>
    <row r="539" spans="1:30" hidden="1">
      <c r="A539" s="42" t="s">
        <v>2610</v>
      </c>
      <c r="B539" s="42">
        <v>44105</v>
      </c>
      <c r="C539" s="1" t="s">
        <v>2611</v>
      </c>
      <c r="D539" s="2" t="s">
        <v>528</v>
      </c>
      <c r="E539" s="2" t="s">
        <v>66</v>
      </c>
      <c r="F539" s="1" t="s">
        <v>34</v>
      </c>
      <c r="G539" s="2" t="s">
        <v>2612</v>
      </c>
      <c r="H539" s="2" t="s">
        <v>2079</v>
      </c>
      <c r="I539" s="11">
        <v>1000000</v>
      </c>
      <c r="M539" s="2" t="s">
        <v>531</v>
      </c>
      <c r="N539" s="2" t="s">
        <v>300</v>
      </c>
      <c r="O539" s="7" t="s">
        <v>2084</v>
      </c>
      <c r="P539" s="2" t="s">
        <v>2375</v>
      </c>
      <c r="Q539" s="2" t="s">
        <v>2613</v>
      </c>
      <c r="R539" s="2">
        <v>55437</v>
      </c>
      <c r="S539" s="45">
        <v>44.854467999999997</v>
      </c>
      <c r="T539" s="45">
        <v>-93.354118</v>
      </c>
      <c r="W539" s="5"/>
      <c r="AC539" s="2" t="s">
        <v>51</v>
      </c>
      <c r="AD539" s="2">
        <f t="shared" si="8"/>
        <v>2020</v>
      </c>
    </row>
    <row r="540" spans="1:30" hidden="1">
      <c r="A540" s="42" t="s">
        <v>2610</v>
      </c>
      <c r="B540" s="3">
        <v>44111</v>
      </c>
      <c r="C540" s="2" t="s">
        <v>2614</v>
      </c>
      <c r="D540" s="2" t="s">
        <v>65</v>
      </c>
      <c r="E540" s="2" t="s">
        <v>66</v>
      </c>
      <c r="F540" s="1" t="s">
        <v>34</v>
      </c>
      <c r="G540" s="2" t="s">
        <v>2615</v>
      </c>
      <c r="I540" s="10"/>
      <c r="N540" s="2" t="s">
        <v>77</v>
      </c>
      <c r="O540" s="46" t="s">
        <v>2616</v>
      </c>
      <c r="P540" s="2" t="s">
        <v>965</v>
      </c>
      <c r="R540" s="2">
        <v>55402</v>
      </c>
      <c r="S540" s="45">
        <v>44.975915000000001</v>
      </c>
      <c r="T540" s="45">
        <v>-93.271825000000007</v>
      </c>
      <c r="W540" s="5"/>
      <c r="Y540" s="2" t="s">
        <v>2617</v>
      </c>
      <c r="Z540" s="2" t="s">
        <v>65</v>
      </c>
      <c r="AA540" s="2" t="s">
        <v>34</v>
      </c>
      <c r="AC540" s="2" t="s">
        <v>51</v>
      </c>
      <c r="AD540" s="2">
        <f t="shared" si="8"/>
        <v>2020</v>
      </c>
    </row>
    <row r="541" spans="1:30" hidden="1">
      <c r="A541" s="42" t="s">
        <v>2610</v>
      </c>
      <c r="B541" s="3">
        <v>44112</v>
      </c>
      <c r="C541" s="2" t="s">
        <v>2618</v>
      </c>
      <c r="D541" s="2" t="s">
        <v>448</v>
      </c>
      <c r="E541" s="2" t="s">
        <v>66</v>
      </c>
      <c r="F541" s="1" t="s">
        <v>34</v>
      </c>
      <c r="G541" s="2" t="s">
        <v>2619</v>
      </c>
      <c r="I541" s="10"/>
      <c r="J541" s="5">
        <v>50</v>
      </c>
      <c r="N541" s="2" t="s">
        <v>77</v>
      </c>
      <c r="O541" s="7" t="s">
        <v>2620</v>
      </c>
      <c r="P541" s="2" t="s">
        <v>965</v>
      </c>
      <c r="Q541" s="2" t="s">
        <v>2621</v>
      </c>
      <c r="R541" s="2">
        <v>55347</v>
      </c>
      <c r="S541" s="45">
        <v>44.825082000000002</v>
      </c>
      <c r="T541" s="45">
        <v>-93.465683999999996</v>
      </c>
      <c r="W541" s="5"/>
      <c r="AC541" s="2" t="s">
        <v>51</v>
      </c>
      <c r="AD541" s="2">
        <f t="shared" si="8"/>
        <v>2020</v>
      </c>
    </row>
    <row r="542" spans="1:30" hidden="1">
      <c r="A542" s="42" t="s">
        <v>2610</v>
      </c>
      <c r="B542" s="3">
        <v>44113</v>
      </c>
      <c r="C542" s="2" t="s">
        <v>2622</v>
      </c>
      <c r="D542" s="2" t="s">
        <v>276</v>
      </c>
      <c r="E542" s="2" t="s">
        <v>277</v>
      </c>
      <c r="F542" s="1" t="s">
        <v>34</v>
      </c>
      <c r="G542" s="2" t="s">
        <v>2623</v>
      </c>
      <c r="H542" s="2" t="s">
        <v>2214</v>
      </c>
      <c r="I542" s="11">
        <v>1200000</v>
      </c>
      <c r="J542" s="5">
        <v>10</v>
      </c>
      <c r="M542" s="2" t="s">
        <v>2624</v>
      </c>
      <c r="N542" s="251" t="s">
        <v>103</v>
      </c>
      <c r="O542" s="7" t="s">
        <v>2625</v>
      </c>
      <c r="P542" s="2" t="s">
        <v>2626</v>
      </c>
      <c r="R542" s="2">
        <v>56601</v>
      </c>
      <c r="S542" s="45">
        <v>47.571964000000001</v>
      </c>
      <c r="T542" s="45">
        <v>-94.801271999999997</v>
      </c>
      <c r="U542" s="2" t="s">
        <v>378</v>
      </c>
      <c r="V542" s="2" t="s">
        <v>2627</v>
      </c>
      <c r="W542" s="5">
        <v>200000</v>
      </c>
      <c r="AC542" s="1" t="s">
        <v>97</v>
      </c>
      <c r="AD542" s="2">
        <f t="shared" si="8"/>
        <v>2020</v>
      </c>
    </row>
    <row r="543" spans="1:30" hidden="1">
      <c r="A543" s="42" t="s">
        <v>2610</v>
      </c>
      <c r="B543" s="3">
        <v>44116</v>
      </c>
      <c r="C543" s="2" t="s">
        <v>2628</v>
      </c>
      <c r="D543" s="2" t="s">
        <v>1271</v>
      </c>
      <c r="E543" s="2" t="s">
        <v>112</v>
      </c>
      <c r="F543" s="1" t="s">
        <v>34</v>
      </c>
      <c r="G543" s="2" t="s">
        <v>2629</v>
      </c>
      <c r="H543" s="2" t="s">
        <v>131</v>
      </c>
      <c r="I543" s="11"/>
      <c r="K543" s="2">
        <v>20</v>
      </c>
      <c r="M543" s="2" t="s">
        <v>574</v>
      </c>
      <c r="N543" s="2" t="s">
        <v>48</v>
      </c>
      <c r="O543" s="2" t="s">
        <v>2630</v>
      </c>
      <c r="P543" s="2" t="s">
        <v>2631</v>
      </c>
      <c r="R543" s="2">
        <v>55934</v>
      </c>
      <c r="S543" s="45">
        <v>44.009931999999999</v>
      </c>
      <c r="T543" s="45">
        <v>-92.264837</v>
      </c>
      <c r="W543" s="5"/>
      <c r="AC543" s="2" t="s">
        <v>120</v>
      </c>
      <c r="AD543" s="2">
        <f t="shared" si="8"/>
        <v>2020</v>
      </c>
    </row>
    <row r="544" spans="1:30" hidden="1">
      <c r="A544" s="42" t="s">
        <v>2610</v>
      </c>
      <c r="B544" s="3">
        <v>44116</v>
      </c>
      <c r="C544" s="2" t="s">
        <v>2632</v>
      </c>
      <c r="D544" s="2" t="s">
        <v>2633</v>
      </c>
      <c r="E544" s="2" t="s">
        <v>2633</v>
      </c>
      <c r="F544" s="1" t="s">
        <v>34</v>
      </c>
      <c r="G544" s="2" t="s">
        <v>2634</v>
      </c>
      <c r="H544" s="2" t="s">
        <v>131</v>
      </c>
      <c r="I544" s="10"/>
      <c r="J544" s="5">
        <v>190</v>
      </c>
      <c r="K544" s="2">
        <v>60</v>
      </c>
      <c r="M544" s="2" t="s">
        <v>684</v>
      </c>
      <c r="N544" s="2" t="s">
        <v>48</v>
      </c>
      <c r="P544" s="2" t="s">
        <v>658</v>
      </c>
      <c r="R544" s="2">
        <v>56093</v>
      </c>
      <c r="S544" s="45">
        <v>44.065547000000002</v>
      </c>
      <c r="T544" s="45">
        <v>-93.550494999999998</v>
      </c>
      <c r="W544" s="5"/>
      <c r="AC544" s="2" t="s">
        <v>120</v>
      </c>
      <c r="AD544" s="2">
        <f t="shared" si="8"/>
        <v>2020</v>
      </c>
    </row>
    <row r="545" spans="1:30" ht="15.75" hidden="1" thickBot="1">
      <c r="A545" s="42" t="s">
        <v>2610</v>
      </c>
      <c r="B545" s="3">
        <v>44117</v>
      </c>
      <c r="C545" s="2" t="s">
        <v>2635</v>
      </c>
      <c r="D545" s="2" t="s">
        <v>372</v>
      </c>
      <c r="E545" s="2" t="s">
        <v>373</v>
      </c>
      <c r="F545" s="1" t="s">
        <v>34</v>
      </c>
      <c r="G545" s="2" t="s">
        <v>2636</v>
      </c>
      <c r="H545" s="2" t="s">
        <v>2637</v>
      </c>
      <c r="I545" s="53">
        <v>13900000</v>
      </c>
      <c r="J545" s="5">
        <v>20</v>
      </c>
      <c r="L545" s="5">
        <v>28000</v>
      </c>
      <c r="M545" s="2" t="s">
        <v>93</v>
      </c>
      <c r="N545" s="2" t="s">
        <v>48</v>
      </c>
      <c r="O545" s="7" t="s">
        <v>2638</v>
      </c>
      <c r="P545" s="2" t="s">
        <v>965</v>
      </c>
      <c r="Q545" s="2" t="s">
        <v>2639</v>
      </c>
      <c r="R545" s="2">
        <v>56001</v>
      </c>
      <c r="S545" s="45">
        <v>44.181032999999999</v>
      </c>
      <c r="T545" s="45">
        <v>-93.939030000000002</v>
      </c>
      <c r="W545" s="5"/>
      <c r="X545" s="2" t="s">
        <v>2319</v>
      </c>
      <c r="Y545" s="2" t="s">
        <v>2640</v>
      </c>
      <c r="Z545" s="2" t="s">
        <v>2641</v>
      </c>
      <c r="AB545" s="2" t="s">
        <v>347</v>
      </c>
      <c r="AC545" s="2" t="s">
        <v>120</v>
      </c>
      <c r="AD545" s="2">
        <f t="shared" si="8"/>
        <v>2020</v>
      </c>
    </row>
    <row r="546" spans="1:30" hidden="1">
      <c r="A546" s="42" t="s">
        <v>2610</v>
      </c>
      <c r="B546" s="3">
        <v>44119</v>
      </c>
      <c r="C546" s="2" t="s">
        <v>2642</v>
      </c>
      <c r="D546" s="2" t="s">
        <v>2643</v>
      </c>
      <c r="E546" s="2" t="s">
        <v>952</v>
      </c>
      <c r="F546" s="1" t="s">
        <v>34</v>
      </c>
      <c r="G546" s="2" t="s">
        <v>2644</v>
      </c>
      <c r="H546" s="2" t="s">
        <v>2312</v>
      </c>
      <c r="I546" s="10">
        <v>75000000</v>
      </c>
      <c r="J546" s="29">
        <v>130</v>
      </c>
      <c r="L546" s="5">
        <v>50000</v>
      </c>
      <c r="M546" s="1" t="s">
        <v>47</v>
      </c>
      <c r="N546" s="2" t="s">
        <v>48</v>
      </c>
      <c r="O546" s="7" t="s">
        <v>2645</v>
      </c>
      <c r="P546" s="2" t="s">
        <v>965</v>
      </c>
      <c r="Q546" s="2" t="s">
        <v>2646</v>
      </c>
      <c r="R546" s="2">
        <v>56320</v>
      </c>
      <c r="S546" s="45">
        <v>45.460554999999999</v>
      </c>
      <c r="T546" s="45">
        <v>-94.403684999999996</v>
      </c>
      <c r="U546" s="2" t="s">
        <v>378</v>
      </c>
      <c r="V546" s="2" t="s">
        <v>2647</v>
      </c>
      <c r="W546" s="5"/>
      <c r="X546" s="2" t="s">
        <v>2319</v>
      </c>
      <c r="Y546" s="2" t="s">
        <v>2648</v>
      </c>
      <c r="AB546" s="2" t="s">
        <v>2649</v>
      </c>
      <c r="AC546" s="2" t="s">
        <v>41</v>
      </c>
      <c r="AD546" s="2">
        <f t="shared" si="8"/>
        <v>2020</v>
      </c>
    </row>
    <row r="547" spans="1:30" hidden="1">
      <c r="A547" s="42" t="s">
        <v>2610</v>
      </c>
      <c r="B547" s="42">
        <v>44120</v>
      </c>
      <c r="C547" s="145" t="s">
        <v>1948</v>
      </c>
      <c r="D547" s="2" t="s">
        <v>2650</v>
      </c>
      <c r="E547" s="2" t="s">
        <v>2651</v>
      </c>
      <c r="F547" s="1" t="s">
        <v>34</v>
      </c>
      <c r="G547" s="2" t="s">
        <v>2652</v>
      </c>
      <c r="H547" s="2" t="s">
        <v>131</v>
      </c>
      <c r="I547" s="10"/>
      <c r="M547" s="1" t="s">
        <v>47</v>
      </c>
      <c r="N547" s="2" t="s">
        <v>48</v>
      </c>
      <c r="O547" s="7" t="s">
        <v>2653</v>
      </c>
      <c r="Q547" s="2" t="s">
        <v>2654</v>
      </c>
      <c r="R547" s="2">
        <v>56248</v>
      </c>
      <c r="S547" s="2">
        <v>45.806607</v>
      </c>
      <c r="T547" s="2">
        <v>-96.143736000000004</v>
      </c>
      <c r="W547" s="11"/>
      <c r="Y547" s="2" t="s">
        <v>1948</v>
      </c>
      <c r="Z547" s="2" t="s">
        <v>1952</v>
      </c>
      <c r="AA547" s="1" t="s">
        <v>34</v>
      </c>
      <c r="AC547" s="2" t="s">
        <v>41</v>
      </c>
      <c r="AD547" s="2">
        <f t="shared" si="8"/>
        <v>2020</v>
      </c>
    </row>
    <row r="548" spans="1:30" hidden="1">
      <c r="A548" s="42" t="s">
        <v>2610</v>
      </c>
      <c r="B548" s="3">
        <v>44124</v>
      </c>
      <c r="C548" s="2" t="s">
        <v>442</v>
      </c>
      <c r="D548" s="2" t="s">
        <v>546</v>
      </c>
      <c r="E548" s="2" t="s">
        <v>74</v>
      </c>
      <c r="F548" s="1" t="s">
        <v>34</v>
      </c>
      <c r="G548" s="2" t="s">
        <v>2655</v>
      </c>
      <c r="H548" s="2" t="s">
        <v>2214</v>
      </c>
      <c r="I548" s="11"/>
      <c r="J548" s="5">
        <v>300</v>
      </c>
      <c r="L548" s="5">
        <v>750000</v>
      </c>
      <c r="N548" s="2" t="s">
        <v>253</v>
      </c>
      <c r="O548" s="46" t="s">
        <v>2656</v>
      </c>
      <c r="P548" s="2" t="s">
        <v>965</v>
      </c>
      <c r="R548" s="2">
        <v>55024</v>
      </c>
      <c r="S548" s="45">
        <v>44.640515000000001</v>
      </c>
      <c r="T548" s="45">
        <v>-93.141959999999997</v>
      </c>
      <c r="W548" s="5"/>
      <c r="Y548" s="1" t="s">
        <v>442</v>
      </c>
      <c r="Z548" s="1" t="s">
        <v>875</v>
      </c>
      <c r="AA548" s="1" t="s">
        <v>328</v>
      </c>
      <c r="AC548" s="2" t="s">
        <v>51</v>
      </c>
      <c r="AD548" s="2">
        <f t="shared" si="8"/>
        <v>2020</v>
      </c>
    </row>
    <row r="549" spans="1:30" hidden="1">
      <c r="A549" s="42" t="s">
        <v>2610</v>
      </c>
      <c r="B549" s="3">
        <v>44124</v>
      </c>
      <c r="C549" s="2" t="s">
        <v>2657</v>
      </c>
      <c r="D549" s="2" t="s">
        <v>1155</v>
      </c>
      <c r="E549" s="2" t="s">
        <v>44</v>
      </c>
      <c r="F549" s="1" t="s">
        <v>34</v>
      </c>
      <c r="G549" s="2" t="s">
        <v>2658</v>
      </c>
      <c r="H549" s="2" t="s">
        <v>2659</v>
      </c>
      <c r="I549" s="11"/>
      <c r="J549" s="5">
        <v>250</v>
      </c>
      <c r="M549" s="2" t="s">
        <v>2109</v>
      </c>
      <c r="N549" s="1" t="s">
        <v>37</v>
      </c>
      <c r="O549" s="46" t="s">
        <v>2660</v>
      </c>
      <c r="P549" s="1" t="s">
        <v>1956</v>
      </c>
      <c r="Q549" s="2" t="s">
        <v>2661</v>
      </c>
      <c r="R549" s="2">
        <v>55128</v>
      </c>
      <c r="S549" s="45">
        <v>45.000019999999999</v>
      </c>
      <c r="T549" s="45">
        <v>-92.948884000000007</v>
      </c>
      <c r="U549" s="2" t="s">
        <v>378</v>
      </c>
      <c r="V549" s="2" t="s">
        <v>2662</v>
      </c>
      <c r="W549" s="5">
        <v>14000000</v>
      </c>
      <c r="AC549" s="2" t="s">
        <v>51</v>
      </c>
      <c r="AD549" s="2">
        <f t="shared" si="8"/>
        <v>2020</v>
      </c>
    </row>
    <row r="550" spans="1:30" hidden="1">
      <c r="A550" s="42" t="s">
        <v>2610</v>
      </c>
      <c r="B550" s="3">
        <v>44126</v>
      </c>
      <c r="C550" s="2" t="s">
        <v>1699</v>
      </c>
      <c r="D550" s="2" t="s">
        <v>448</v>
      </c>
      <c r="E550" s="2" t="s">
        <v>66</v>
      </c>
      <c r="F550" s="1" t="s">
        <v>34</v>
      </c>
      <c r="G550" s="2" t="s">
        <v>2663</v>
      </c>
      <c r="H550" s="2" t="s">
        <v>1359</v>
      </c>
      <c r="I550" s="11"/>
      <c r="J550" s="5">
        <v>150</v>
      </c>
      <c r="M550" s="2" t="s">
        <v>85</v>
      </c>
      <c r="N550" s="2" t="s">
        <v>86</v>
      </c>
      <c r="O550" s="7" t="s">
        <v>2664</v>
      </c>
      <c r="P550" s="1" t="s">
        <v>1956</v>
      </c>
      <c r="Q550" s="2" t="s">
        <v>2239</v>
      </c>
      <c r="R550" s="2">
        <v>55347</v>
      </c>
      <c r="S550" s="45">
        <v>44.841734000000002</v>
      </c>
      <c r="T550" s="45">
        <v>-93.441980999999998</v>
      </c>
      <c r="W550" s="5"/>
      <c r="AC550" s="2" t="s">
        <v>51</v>
      </c>
      <c r="AD550" s="2">
        <f t="shared" si="8"/>
        <v>2020</v>
      </c>
    </row>
    <row r="551" spans="1:30" hidden="1">
      <c r="A551" s="42" t="s">
        <v>2610</v>
      </c>
      <c r="B551" s="3">
        <v>44126</v>
      </c>
      <c r="C551" s="2" t="s">
        <v>2665</v>
      </c>
      <c r="D551" s="2" t="s">
        <v>2666</v>
      </c>
      <c r="E551" s="2" t="s">
        <v>2667</v>
      </c>
      <c r="F551" s="1" t="s">
        <v>34</v>
      </c>
      <c r="G551" s="2" t="s">
        <v>2668</v>
      </c>
      <c r="H551" s="2" t="s">
        <v>131</v>
      </c>
      <c r="I551" s="10">
        <v>725000</v>
      </c>
      <c r="J551" s="29">
        <v>9</v>
      </c>
      <c r="M551" s="2" t="s">
        <v>2090</v>
      </c>
      <c r="N551" s="2" t="s">
        <v>48</v>
      </c>
      <c r="O551" s="7" t="s">
        <v>2669</v>
      </c>
      <c r="P551" s="2" t="s">
        <v>2670</v>
      </c>
      <c r="Q551" s="2" t="s">
        <v>2671</v>
      </c>
      <c r="R551" s="2">
        <v>56623</v>
      </c>
      <c r="S551" s="45">
        <v>48.712865999999998</v>
      </c>
      <c r="T551" s="45">
        <v>-94.599631000000002</v>
      </c>
      <c r="W551" s="5"/>
      <c r="AC551" s="1" t="s">
        <v>97</v>
      </c>
      <c r="AD551" s="2">
        <f t="shared" si="8"/>
        <v>2020</v>
      </c>
    </row>
    <row r="552" spans="1:30" ht="15.75" hidden="1" thickBot="1">
      <c r="A552" s="42" t="s">
        <v>2610</v>
      </c>
      <c r="B552" s="52">
        <v>44131</v>
      </c>
      <c r="C552" s="2" t="s">
        <v>2672</v>
      </c>
      <c r="D552" s="2" t="s">
        <v>528</v>
      </c>
      <c r="E552" s="2" t="s">
        <v>66</v>
      </c>
      <c r="F552" s="1" t="s">
        <v>34</v>
      </c>
      <c r="G552" s="2" t="s">
        <v>2673</v>
      </c>
      <c r="H552" s="2" t="s">
        <v>2079</v>
      </c>
      <c r="I552" s="53">
        <v>969777</v>
      </c>
      <c r="M552" s="1" t="s">
        <v>1636</v>
      </c>
      <c r="N552" s="2" t="s">
        <v>140</v>
      </c>
      <c r="O552" s="7" t="s">
        <v>2084</v>
      </c>
      <c r="P552" s="2" t="s">
        <v>2375</v>
      </c>
      <c r="Q552" s="2" t="s">
        <v>2674</v>
      </c>
      <c r="R552" s="2">
        <v>55437</v>
      </c>
      <c r="S552" s="45">
        <v>44.852654000000001</v>
      </c>
      <c r="T552" s="45">
        <v>-93.351347000000004</v>
      </c>
      <c r="W552" s="5"/>
      <c r="AC552" s="2" t="s">
        <v>51</v>
      </c>
      <c r="AD552" s="2">
        <f t="shared" si="8"/>
        <v>2020</v>
      </c>
    </row>
    <row r="553" spans="1:30" ht="15.75" hidden="1" thickBot="1">
      <c r="A553" s="42" t="s">
        <v>2610</v>
      </c>
      <c r="B553" s="52">
        <v>44135</v>
      </c>
      <c r="C553" s="86" t="s">
        <v>2675</v>
      </c>
      <c r="D553" s="87" t="s">
        <v>546</v>
      </c>
      <c r="E553" s="2" t="s">
        <v>74</v>
      </c>
      <c r="F553" s="1" t="s">
        <v>34</v>
      </c>
      <c r="G553" s="2" t="s">
        <v>2676</v>
      </c>
      <c r="H553" s="2" t="s">
        <v>131</v>
      </c>
      <c r="I553" s="53"/>
      <c r="L553" s="5">
        <v>62000</v>
      </c>
      <c r="M553" s="2" t="s">
        <v>2677</v>
      </c>
      <c r="N553" s="2" t="s">
        <v>48</v>
      </c>
      <c r="O553" s="7" t="s">
        <v>2607</v>
      </c>
      <c r="P553" s="2" t="s">
        <v>2608</v>
      </c>
      <c r="Q553" s="2" t="s">
        <v>2678</v>
      </c>
      <c r="R553" s="2">
        <v>55044</v>
      </c>
      <c r="S553" s="2">
        <v>44.643447000000002</v>
      </c>
      <c r="T553" s="2">
        <v>-93.223286999999999</v>
      </c>
      <c r="W553" s="11"/>
      <c r="AC553" s="2" t="s">
        <v>51</v>
      </c>
      <c r="AD553" s="2">
        <f t="shared" si="8"/>
        <v>2020</v>
      </c>
    </row>
    <row r="554" spans="1:30" hidden="1">
      <c r="A554" s="42" t="s">
        <v>2610</v>
      </c>
      <c r="B554" s="213">
        <v>44140</v>
      </c>
      <c r="C554" s="216" t="s">
        <v>214</v>
      </c>
      <c r="D554" s="216" t="s">
        <v>65</v>
      </c>
      <c r="E554" s="2" t="s">
        <v>66</v>
      </c>
      <c r="F554" s="1" t="s">
        <v>34</v>
      </c>
      <c r="G554" s="2" t="s">
        <v>2679</v>
      </c>
      <c r="I554" s="10"/>
      <c r="J554" s="5">
        <v>100</v>
      </c>
      <c r="M554" s="2" t="s">
        <v>85</v>
      </c>
      <c r="N554" s="2" t="s">
        <v>86</v>
      </c>
      <c r="O554" s="7" t="s">
        <v>2680</v>
      </c>
      <c r="P554" s="1" t="s">
        <v>1327</v>
      </c>
      <c r="Q554" s="2" t="s">
        <v>2464</v>
      </c>
      <c r="R554" s="2">
        <v>55401</v>
      </c>
      <c r="S554" s="45">
        <v>44.985892999999997</v>
      </c>
      <c r="T554" s="45">
        <v>-93.269371000000007</v>
      </c>
      <c r="W554" s="5"/>
      <c r="AC554" s="2" t="s">
        <v>51</v>
      </c>
      <c r="AD554" s="2">
        <f t="shared" si="8"/>
        <v>2020</v>
      </c>
    </row>
    <row r="555" spans="1:30" hidden="1">
      <c r="A555" s="42" t="s">
        <v>2610</v>
      </c>
      <c r="B555" s="3">
        <v>44144</v>
      </c>
      <c r="C555" s="2" t="s">
        <v>2484</v>
      </c>
      <c r="D555" s="2" t="s">
        <v>528</v>
      </c>
      <c r="E555" s="2" t="s">
        <v>66</v>
      </c>
      <c r="F555" s="1" t="s">
        <v>34</v>
      </c>
      <c r="G555" s="2" t="s">
        <v>2681</v>
      </c>
      <c r="I555" s="10"/>
      <c r="J555" s="5">
        <v>70</v>
      </c>
      <c r="M555" s="2" t="s">
        <v>531</v>
      </c>
      <c r="N555" s="2" t="s">
        <v>300</v>
      </c>
      <c r="O555" s="7" t="s">
        <v>2682</v>
      </c>
      <c r="P555" s="2" t="s">
        <v>285</v>
      </c>
      <c r="Q555" s="2" t="s">
        <v>2683</v>
      </c>
      <c r="R555" s="2">
        <v>55431</v>
      </c>
      <c r="S555" s="45">
        <v>44.858280000000001</v>
      </c>
      <c r="T555" s="45">
        <v>-93.325306999999995</v>
      </c>
      <c r="W555" s="5"/>
      <c r="AC555" s="2" t="s">
        <v>51</v>
      </c>
      <c r="AD555" s="2">
        <f t="shared" si="8"/>
        <v>2020</v>
      </c>
    </row>
    <row r="556" spans="1:30" hidden="1">
      <c r="A556" s="42" t="s">
        <v>2610</v>
      </c>
      <c r="B556" s="3">
        <v>44144</v>
      </c>
      <c r="C556" s="2" t="s">
        <v>2684</v>
      </c>
      <c r="D556" s="2" t="s">
        <v>65</v>
      </c>
      <c r="E556" s="2" t="s">
        <v>66</v>
      </c>
      <c r="F556" s="1" t="s">
        <v>34</v>
      </c>
      <c r="G556" s="2" t="s">
        <v>2685</v>
      </c>
      <c r="H556" s="2" t="s">
        <v>2686</v>
      </c>
      <c r="I556" s="37"/>
      <c r="J556" s="88"/>
      <c r="L556" s="5">
        <v>50000</v>
      </c>
      <c r="N556" s="2" t="s">
        <v>253</v>
      </c>
      <c r="O556" s="7" t="s">
        <v>2687</v>
      </c>
      <c r="P556" s="2" t="s">
        <v>965</v>
      </c>
      <c r="Q556" s="2" t="s">
        <v>2688</v>
      </c>
      <c r="R556" s="2">
        <v>55414</v>
      </c>
      <c r="S556" s="45">
        <v>44.981496999999997</v>
      </c>
      <c r="T556" s="45">
        <v>-93.214343999999997</v>
      </c>
      <c r="U556" s="2" t="s">
        <v>2689</v>
      </c>
      <c r="W556" s="5"/>
      <c r="AC556" s="2" t="s">
        <v>51</v>
      </c>
      <c r="AD556" s="2">
        <f t="shared" si="8"/>
        <v>2020</v>
      </c>
    </row>
    <row r="557" spans="1:30" hidden="1">
      <c r="A557" s="42" t="s">
        <v>2610</v>
      </c>
      <c r="B557" s="3">
        <v>44146</v>
      </c>
      <c r="C557" s="2" t="s">
        <v>2690</v>
      </c>
      <c r="D557" s="2" t="s">
        <v>1418</v>
      </c>
      <c r="E557" s="2" t="s">
        <v>1419</v>
      </c>
      <c r="F557" s="1" t="s">
        <v>34</v>
      </c>
      <c r="G557" s="2" t="s">
        <v>2691</v>
      </c>
      <c r="H557" s="2" t="s">
        <v>2312</v>
      </c>
      <c r="I557" s="10">
        <v>26000000</v>
      </c>
      <c r="J557" s="29">
        <v>20</v>
      </c>
      <c r="M557" s="1" t="s">
        <v>47</v>
      </c>
      <c r="N557" s="2" t="s">
        <v>48</v>
      </c>
      <c r="O557" s="7" t="s">
        <v>2692</v>
      </c>
      <c r="P557" s="2" t="s">
        <v>2693</v>
      </c>
      <c r="Q557" s="2" t="s">
        <v>2694</v>
      </c>
      <c r="R557" s="2">
        <v>56308</v>
      </c>
      <c r="S557" s="45">
        <v>45.892988000000003</v>
      </c>
      <c r="T557" s="45">
        <v>-95.385679999999994</v>
      </c>
      <c r="W557" s="5"/>
      <c r="X557" s="2" t="s">
        <v>2319</v>
      </c>
      <c r="Y557" s="2" t="s">
        <v>2690</v>
      </c>
      <c r="Z557" s="2" t="s">
        <v>2695</v>
      </c>
      <c r="AA557" s="2" t="s">
        <v>136</v>
      </c>
      <c r="AB557" s="2" t="s">
        <v>423</v>
      </c>
      <c r="AC557" s="2" t="s">
        <v>41</v>
      </c>
      <c r="AD557" s="2">
        <f t="shared" si="8"/>
        <v>2020</v>
      </c>
    </row>
    <row r="558" spans="1:30" hidden="1">
      <c r="A558" s="42" t="s">
        <v>2610</v>
      </c>
      <c r="B558" s="3">
        <v>44147</v>
      </c>
      <c r="C558" s="2" t="s">
        <v>2696</v>
      </c>
      <c r="D558" s="2" t="s">
        <v>515</v>
      </c>
      <c r="E558" s="2" t="s">
        <v>515</v>
      </c>
      <c r="F558" s="1" t="s">
        <v>34</v>
      </c>
      <c r="G558" s="2" t="s">
        <v>2697</v>
      </c>
      <c r="H558" s="2" t="s">
        <v>2312</v>
      </c>
      <c r="I558" s="89">
        <v>645697</v>
      </c>
      <c r="J558" s="29">
        <v>64</v>
      </c>
      <c r="M558" s="1" t="s">
        <v>47</v>
      </c>
      <c r="N558" s="2" t="s">
        <v>48</v>
      </c>
      <c r="O558" s="7" t="s">
        <v>2698</v>
      </c>
      <c r="P558" s="2" t="s">
        <v>2699</v>
      </c>
      <c r="Q558" s="2" t="s">
        <v>2700</v>
      </c>
      <c r="R558" s="2">
        <v>55987</v>
      </c>
      <c r="S558" s="45">
        <v>44.054048999999999</v>
      </c>
      <c r="T558" s="45">
        <v>-91.664188999999993</v>
      </c>
      <c r="U558" s="2" t="s">
        <v>378</v>
      </c>
      <c r="V558" s="2" t="s">
        <v>2701</v>
      </c>
      <c r="W558" s="5">
        <v>400000</v>
      </c>
      <c r="AC558" s="2" t="s">
        <v>120</v>
      </c>
      <c r="AD558" s="2">
        <f t="shared" si="8"/>
        <v>2020</v>
      </c>
    </row>
    <row r="559" spans="1:30" hidden="1">
      <c r="A559" s="42" t="s">
        <v>2610</v>
      </c>
      <c r="B559" s="3">
        <v>44153</v>
      </c>
      <c r="C559" s="2" t="s">
        <v>2702</v>
      </c>
      <c r="D559" s="2" t="s">
        <v>65</v>
      </c>
      <c r="E559" s="2" t="s">
        <v>66</v>
      </c>
      <c r="F559" s="1" t="s">
        <v>34</v>
      </c>
      <c r="G559" s="2" t="s">
        <v>2703</v>
      </c>
      <c r="H559" s="2" t="s">
        <v>2079</v>
      </c>
      <c r="I559" s="11"/>
      <c r="J559" s="5">
        <v>7</v>
      </c>
      <c r="M559" s="1" t="s">
        <v>294</v>
      </c>
      <c r="N559" s="2" t="s">
        <v>86</v>
      </c>
      <c r="O559" s="7" t="s">
        <v>2704</v>
      </c>
      <c r="P559" s="2" t="s">
        <v>965</v>
      </c>
      <c r="Q559" s="2" t="s">
        <v>2705</v>
      </c>
      <c r="R559" s="2">
        <v>55415</v>
      </c>
      <c r="S559" s="45">
        <v>44.977536999999998</v>
      </c>
      <c r="T559" s="45">
        <v>-93.263637000000003</v>
      </c>
      <c r="W559" s="5"/>
      <c r="AC559" s="2" t="s">
        <v>51</v>
      </c>
      <c r="AD559" s="2">
        <f t="shared" si="8"/>
        <v>2020</v>
      </c>
    </row>
    <row r="560" spans="1:30" hidden="1">
      <c r="A560" s="42" t="s">
        <v>2610</v>
      </c>
      <c r="B560" s="3">
        <v>44155</v>
      </c>
      <c r="C560" s="2" t="s">
        <v>2706</v>
      </c>
      <c r="D560" s="2" t="s">
        <v>174</v>
      </c>
      <c r="E560" s="2" t="s">
        <v>66</v>
      </c>
      <c r="F560" s="1" t="s">
        <v>34</v>
      </c>
      <c r="G560" s="2" t="s">
        <v>2707</v>
      </c>
      <c r="H560" s="2" t="s">
        <v>2708</v>
      </c>
      <c r="I560" s="10">
        <v>15300000</v>
      </c>
      <c r="J560" s="5">
        <v>25</v>
      </c>
      <c r="L560" s="5">
        <v>86000</v>
      </c>
      <c r="M560" s="2" t="s">
        <v>737</v>
      </c>
      <c r="N560" s="2" t="s">
        <v>300</v>
      </c>
      <c r="O560" s="7" t="s">
        <v>2709</v>
      </c>
      <c r="P560" s="2" t="s">
        <v>965</v>
      </c>
      <c r="Q560" s="2" t="s">
        <v>2710</v>
      </c>
      <c r="R560" s="2">
        <v>55443</v>
      </c>
      <c r="S560" s="45">
        <v>45.143622000000001</v>
      </c>
      <c r="T560" s="45">
        <v>-93.385800000000003</v>
      </c>
      <c r="W560" s="5"/>
      <c r="AC560" s="2" t="s">
        <v>51</v>
      </c>
      <c r="AD560" s="2">
        <f t="shared" si="8"/>
        <v>2020</v>
      </c>
    </row>
    <row r="561" spans="1:30" hidden="1">
      <c r="A561" s="42" t="s">
        <v>2610</v>
      </c>
      <c r="B561" s="3">
        <v>44155</v>
      </c>
      <c r="C561" s="2" t="s">
        <v>2711</v>
      </c>
      <c r="D561" s="2" t="s">
        <v>776</v>
      </c>
      <c r="E561" s="2" t="s">
        <v>66</v>
      </c>
      <c r="F561" s="1" t="s">
        <v>34</v>
      </c>
      <c r="G561" s="2" t="s">
        <v>2712</v>
      </c>
      <c r="H561" s="2" t="s">
        <v>2079</v>
      </c>
      <c r="I561" s="11"/>
      <c r="M561" s="2" t="s">
        <v>167</v>
      </c>
      <c r="N561" s="2" t="s">
        <v>48</v>
      </c>
      <c r="O561" s="7" t="s">
        <v>2713</v>
      </c>
      <c r="P561" s="2" t="s">
        <v>2714</v>
      </c>
      <c r="Q561" s="2" t="s">
        <v>2715</v>
      </c>
      <c r="R561" s="2">
        <v>55439</v>
      </c>
      <c r="S561" s="45">
        <v>44.868713999999997</v>
      </c>
      <c r="T561" s="45">
        <v>-93.357615999999993</v>
      </c>
      <c r="W561" s="5"/>
      <c r="X561" s="2" t="s">
        <v>2319</v>
      </c>
      <c r="AB561" s="2" t="s">
        <v>1323</v>
      </c>
      <c r="AC561" s="2" t="s">
        <v>51</v>
      </c>
      <c r="AD561" s="2">
        <f t="shared" si="8"/>
        <v>2020</v>
      </c>
    </row>
    <row r="562" spans="1:30" hidden="1">
      <c r="A562" s="42" t="s">
        <v>2610</v>
      </c>
      <c r="B562" s="93">
        <v>44158</v>
      </c>
      <c r="C562" s="83" t="s">
        <v>2716</v>
      </c>
      <c r="D562" s="83" t="s">
        <v>381</v>
      </c>
      <c r="E562" s="2" t="s">
        <v>112</v>
      </c>
      <c r="F562" s="1" t="s">
        <v>34</v>
      </c>
      <c r="G562" s="2" t="s">
        <v>2717</v>
      </c>
      <c r="H562" s="2" t="s">
        <v>2214</v>
      </c>
      <c r="I562" s="162">
        <v>31000000</v>
      </c>
      <c r="J562" s="5">
        <v>26</v>
      </c>
      <c r="L562" s="5">
        <v>170000</v>
      </c>
      <c r="N562" s="2" t="s">
        <v>1004</v>
      </c>
      <c r="O562" s="7" t="s">
        <v>2718</v>
      </c>
      <c r="P562" s="2" t="s">
        <v>2573</v>
      </c>
      <c r="Q562" s="2" t="s">
        <v>2719</v>
      </c>
      <c r="R562" s="2">
        <v>55906</v>
      </c>
      <c r="S562" s="45">
        <v>44.104509</v>
      </c>
      <c r="T562" s="45">
        <v>-92.429329999999993</v>
      </c>
      <c r="U562" s="2" t="s">
        <v>378</v>
      </c>
      <c r="V562" s="47" t="s">
        <v>2720</v>
      </c>
      <c r="W562" s="5">
        <v>1821000</v>
      </c>
      <c r="AC562" s="2" t="s">
        <v>120</v>
      </c>
      <c r="AD562" s="2">
        <f t="shared" si="8"/>
        <v>2020</v>
      </c>
    </row>
    <row r="563" spans="1:30" hidden="1">
      <c r="A563" s="42" t="s">
        <v>2610</v>
      </c>
      <c r="B563" s="3">
        <v>44160</v>
      </c>
      <c r="C563" s="2" t="s">
        <v>2721</v>
      </c>
      <c r="D563" s="2" t="s">
        <v>2722</v>
      </c>
      <c r="E563" s="2" t="s">
        <v>182</v>
      </c>
      <c r="F563" s="1" t="s">
        <v>34</v>
      </c>
      <c r="G563" s="2" t="s">
        <v>2723</v>
      </c>
      <c r="H563" s="2" t="s">
        <v>2724</v>
      </c>
      <c r="I563" s="10">
        <v>3500000</v>
      </c>
      <c r="J563" s="5">
        <v>15</v>
      </c>
      <c r="L563" s="5">
        <v>25000</v>
      </c>
      <c r="N563" s="2" t="s">
        <v>253</v>
      </c>
      <c r="O563" s="7" t="s">
        <v>2725</v>
      </c>
      <c r="P563" s="2" t="s">
        <v>1470</v>
      </c>
      <c r="Q563" s="2" t="s">
        <v>2726</v>
      </c>
      <c r="R563" s="2">
        <v>56003</v>
      </c>
      <c r="S563" s="45">
        <v>44.191448999999999</v>
      </c>
      <c r="T563" s="45">
        <v>-94.050968999999995</v>
      </c>
      <c r="W563" s="5"/>
      <c r="AC563" s="2" t="s">
        <v>120</v>
      </c>
      <c r="AD563" s="2">
        <f t="shared" si="8"/>
        <v>2020</v>
      </c>
    </row>
    <row r="564" spans="1:30" hidden="1">
      <c r="A564" s="42" t="s">
        <v>2610</v>
      </c>
      <c r="B564" s="3">
        <v>44169</v>
      </c>
      <c r="C564" s="2" t="s">
        <v>2404</v>
      </c>
      <c r="D564" s="2" t="s">
        <v>65</v>
      </c>
      <c r="E564" s="2" t="s">
        <v>66</v>
      </c>
      <c r="F564" s="1" t="s">
        <v>34</v>
      </c>
      <c r="G564" s="2" t="s">
        <v>2727</v>
      </c>
      <c r="H564" s="2" t="s">
        <v>2079</v>
      </c>
      <c r="I564" s="10"/>
      <c r="L564" s="5">
        <v>85000</v>
      </c>
      <c r="N564" s="2" t="s">
        <v>1462</v>
      </c>
      <c r="O564" s="7" t="s">
        <v>2728</v>
      </c>
      <c r="P564" s="2" t="s">
        <v>965</v>
      </c>
      <c r="Q564" s="2" t="s">
        <v>2729</v>
      </c>
      <c r="R564" s="2">
        <v>55418</v>
      </c>
      <c r="S564" s="45">
        <v>45.028784999999999</v>
      </c>
      <c r="T564" s="45">
        <v>-93.276927999999998</v>
      </c>
      <c r="W564" s="5"/>
      <c r="AC564" s="2" t="s">
        <v>51</v>
      </c>
      <c r="AD564" s="2">
        <f t="shared" si="8"/>
        <v>2020</v>
      </c>
    </row>
    <row r="565" spans="1:30" hidden="1">
      <c r="A565" s="42" t="s">
        <v>2610</v>
      </c>
      <c r="B565" s="3">
        <v>44170</v>
      </c>
      <c r="C565" s="2" t="s">
        <v>2730</v>
      </c>
      <c r="D565" s="2" t="s">
        <v>479</v>
      </c>
      <c r="E565" s="2" t="s">
        <v>468</v>
      </c>
      <c r="F565" s="1" t="s">
        <v>34</v>
      </c>
      <c r="G565" s="2" t="s">
        <v>2731</v>
      </c>
      <c r="H565" s="2" t="s">
        <v>131</v>
      </c>
      <c r="I565" s="10"/>
      <c r="L565" s="5">
        <v>4000</v>
      </c>
      <c r="M565" s="2" t="s">
        <v>2732</v>
      </c>
      <c r="N565" s="2" t="s">
        <v>48</v>
      </c>
      <c r="O565" s="7" t="s">
        <v>2733</v>
      </c>
      <c r="P565" s="2" t="s">
        <v>2734</v>
      </c>
      <c r="Q565" s="2" t="s">
        <v>2735</v>
      </c>
      <c r="R565" s="2">
        <v>55057</v>
      </c>
      <c r="S565" s="45">
        <v>44.447538999999999</v>
      </c>
      <c r="T565" s="45">
        <v>-93.174437999999995</v>
      </c>
      <c r="W565" s="5"/>
      <c r="AC565" s="2" t="s">
        <v>120</v>
      </c>
      <c r="AD565" s="2">
        <f t="shared" si="8"/>
        <v>2020</v>
      </c>
    </row>
    <row r="566" spans="1:30" hidden="1">
      <c r="A566" s="42" t="s">
        <v>2610</v>
      </c>
      <c r="B566" s="3">
        <v>44175</v>
      </c>
      <c r="C566" s="2" t="s">
        <v>2736</v>
      </c>
      <c r="D566" s="2" t="s">
        <v>995</v>
      </c>
      <c r="E566" s="2" t="s">
        <v>373</v>
      </c>
      <c r="F566" s="1" t="s">
        <v>34</v>
      </c>
      <c r="G566" s="2" t="s">
        <v>2737</v>
      </c>
      <c r="H566" s="2" t="s">
        <v>131</v>
      </c>
      <c r="I566" s="10"/>
      <c r="L566" s="5">
        <v>55000</v>
      </c>
      <c r="M566" s="2" t="s">
        <v>77</v>
      </c>
      <c r="N566" s="2" t="s">
        <v>48</v>
      </c>
      <c r="O566" s="7" t="s">
        <v>2738</v>
      </c>
      <c r="P566" s="2" t="s">
        <v>2597</v>
      </c>
      <c r="Q566" s="2" t="s">
        <v>2739</v>
      </c>
      <c r="R566" s="2">
        <v>56055</v>
      </c>
      <c r="S566" s="45">
        <v>44.147700999999998</v>
      </c>
      <c r="T566" s="45">
        <v>-94.212574000000004</v>
      </c>
      <c r="W566" s="5"/>
      <c r="AC566" s="2" t="s">
        <v>120</v>
      </c>
      <c r="AD566" s="2">
        <f t="shared" si="8"/>
        <v>2020</v>
      </c>
    </row>
    <row r="567" spans="1:30" hidden="1">
      <c r="A567" s="42" t="s">
        <v>2610</v>
      </c>
      <c r="B567" s="42">
        <v>44187</v>
      </c>
      <c r="C567" s="2" t="s">
        <v>2740</v>
      </c>
      <c r="D567" s="2" t="s">
        <v>539</v>
      </c>
      <c r="E567" s="2" t="s">
        <v>74</v>
      </c>
      <c r="F567" s="1" t="s">
        <v>34</v>
      </c>
      <c r="G567" s="2" t="s">
        <v>2741</v>
      </c>
      <c r="I567" s="10"/>
      <c r="J567" s="29"/>
      <c r="M567" s="2" t="s">
        <v>167</v>
      </c>
      <c r="N567" s="2" t="s">
        <v>48</v>
      </c>
      <c r="O567" s="2" t="s">
        <v>2742</v>
      </c>
      <c r="P567" s="2" t="s">
        <v>647</v>
      </c>
      <c r="Q567" s="2" t="s">
        <v>2743</v>
      </c>
      <c r="R567" s="2">
        <v>55337</v>
      </c>
      <c r="S567" s="45">
        <v>44.749493000000001</v>
      </c>
      <c r="T567" s="45">
        <v>-93.317509999999999</v>
      </c>
      <c r="AC567" s="2" t="s">
        <v>51</v>
      </c>
      <c r="AD567" s="2">
        <f t="shared" si="8"/>
        <v>2020</v>
      </c>
    </row>
    <row r="568" spans="1:30" hidden="1">
      <c r="A568" s="42" t="s">
        <v>2610</v>
      </c>
      <c r="B568" s="42">
        <v>44196</v>
      </c>
      <c r="C568" s="2" t="s">
        <v>2744</v>
      </c>
      <c r="D568" s="2" t="s">
        <v>546</v>
      </c>
      <c r="E568" s="2" t="s">
        <v>74</v>
      </c>
      <c r="F568" s="1" t="s">
        <v>34</v>
      </c>
      <c r="G568" s="2" t="s">
        <v>2745</v>
      </c>
      <c r="H568" s="2" t="s">
        <v>2746</v>
      </c>
      <c r="I568" s="11"/>
      <c r="L568" s="5">
        <v>17218</v>
      </c>
      <c r="M568" s="2" t="s">
        <v>684</v>
      </c>
      <c r="N568" s="2" t="s">
        <v>48</v>
      </c>
      <c r="O568" s="7" t="s">
        <v>2607</v>
      </c>
      <c r="P568" s="2" t="s">
        <v>2608</v>
      </c>
      <c r="Q568" s="2" t="s">
        <v>2747</v>
      </c>
      <c r="R568" s="2">
        <v>55044</v>
      </c>
      <c r="S568" s="2">
        <v>44.643554000000002</v>
      </c>
      <c r="T568" s="2">
        <v>-93.224467000000004</v>
      </c>
      <c r="W568" s="11"/>
      <c r="AC568" s="2" t="s">
        <v>51</v>
      </c>
      <c r="AD568" s="2">
        <f t="shared" si="8"/>
        <v>2020</v>
      </c>
    </row>
    <row r="569" spans="1:30" hidden="1">
      <c r="A569" s="42" t="s">
        <v>2610</v>
      </c>
      <c r="B569" s="42">
        <v>44196</v>
      </c>
      <c r="C569" s="2" t="s">
        <v>2748</v>
      </c>
      <c r="D569" s="2" t="s">
        <v>546</v>
      </c>
      <c r="E569" s="2" t="s">
        <v>74</v>
      </c>
      <c r="F569" s="1" t="s">
        <v>34</v>
      </c>
      <c r="G569" s="2" t="s">
        <v>2749</v>
      </c>
      <c r="H569" s="2" t="s">
        <v>2214</v>
      </c>
      <c r="I569" s="10"/>
      <c r="J569" s="29"/>
      <c r="L569" s="5">
        <v>21240</v>
      </c>
      <c r="M569" s="2" t="s">
        <v>665</v>
      </c>
      <c r="N569" s="251" t="s">
        <v>103</v>
      </c>
      <c r="O569" s="7" t="s">
        <v>2607</v>
      </c>
      <c r="P569" s="2" t="s">
        <v>2608</v>
      </c>
      <c r="Q569" s="2" t="s">
        <v>2750</v>
      </c>
      <c r="R569" s="2">
        <v>55044</v>
      </c>
      <c r="S569" s="2">
        <v>44.636975999999997</v>
      </c>
      <c r="T569" s="2">
        <v>-93.244198999999995</v>
      </c>
      <c r="W569" s="10"/>
      <c r="AC569" s="2" t="s">
        <v>51</v>
      </c>
      <c r="AD569" s="2">
        <f t="shared" si="8"/>
        <v>2020</v>
      </c>
    </row>
    <row r="570" spans="1:30" ht="16.5" hidden="1" customHeight="1">
      <c r="A570" s="2" t="s">
        <v>2751</v>
      </c>
      <c r="B570" s="42">
        <v>44196</v>
      </c>
      <c r="C570" s="2" t="s">
        <v>2752</v>
      </c>
      <c r="D570" s="2" t="s">
        <v>65</v>
      </c>
      <c r="E570" s="2" t="s">
        <v>66</v>
      </c>
      <c r="F570" s="1" t="s">
        <v>34</v>
      </c>
      <c r="G570" s="2" t="s">
        <v>2753</v>
      </c>
      <c r="H570" s="2" t="s">
        <v>131</v>
      </c>
      <c r="I570" s="11"/>
      <c r="L570" s="5">
        <v>14000</v>
      </c>
      <c r="M570" s="2" t="s">
        <v>2754</v>
      </c>
      <c r="N570" s="2" t="s">
        <v>313</v>
      </c>
      <c r="O570" s="2" t="s">
        <v>2755</v>
      </c>
      <c r="P570" s="2" t="s">
        <v>285</v>
      </c>
      <c r="Q570" s="163" t="s">
        <v>2756</v>
      </c>
      <c r="R570" s="2">
        <v>55407</v>
      </c>
      <c r="S570" s="2">
        <v>44.950746000000002</v>
      </c>
      <c r="T570" s="2">
        <v>-93.241529999999997</v>
      </c>
      <c r="W570" s="11"/>
      <c r="AC570" s="2" t="s">
        <v>51</v>
      </c>
      <c r="AD570" s="2">
        <f t="shared" si="8"/>
        <v>2020</v>
      </c>
    </row>
    <row r="571" spans="1:30" ht="16.5" hidden="1" customHeight="1">
      <c r="A571" s="2" t="s">
        <v>2751</v>
      </c>
      <c r="B571" s="42">
        <v>44215</v>
      </c>
      <c r="C571" s="2" t="s">
        <v>2757</v>
      </c>
      <c r="D571" s="2" t="s">
        <v>2556</v>
      </c>
      <c r="E571" s="2" t="s">
        <v>66</v>
      </c>
      <c r="F571" s="1" t="s">
        <v>34</v>
      </c>
      <c r="G571" s="2" t="s">
        <v>2758</v>
      </c>
      <c r="I571" s="11"/>
      <c r="M571" s="2" t="s">
        <v>159</v>
      </c>
      <c r="N571" s="2" t="s">
        <v>86</v>
      </c>
      <c r="O571" s="2" t="s">
        <v>2759</v>
      </c>
      <c r="P571" s="2" t="s">
        <v>965</v>
      </c>
      <c r="Q571" s="149" t="s">
        <v>2760</v>
      </c>
      <c r="R571" s="2">
        <v>55416</v>
      </c>
      <c r="S571" s="2">
        <v>44.966161999999997</v>
      </c>
      <c r="T571" s="2">
        <v>-93.345726999999997</v>
      </c>
      <c r="W571" s="11"/>
      <c r="AC571" s="2" t="s">
        <v>51</v>
      </c>
      <c r="AD571" s="2">
        <f t="shared" si="8"/>
        <v>2021</v>
      </c>
    </row>
    <row r="572" spans="1:30" hidden="1">
      <c r="A572" s="2" t="s">
        <v>2751</v>
      </c>
      <c r="B572" s="42">
        <v>44218</v>
      </c>
      <c r="C572" s="1" t="s">
        <v>2761</v>
      </c>
      <c r="D572" s="2" t="s">
        <v>2762</v>
      </c>
      <c r="E572" s="2" t="s">
        <v>277</v>
      </c>
      <c r="F572" s="1" t="s">
        <v>34</v>
      </c>
      <c r="G572" s="2" t="s">
        <v>2763</v>
      </c>
      <c r="H572" s="2" t="s">
        <v>1024</v>
      </c>
      <c r="I572" s="11">
        <v>3250000</v>
      </c>
      <c r="J572" s="5">
        <v>6</v>
      </c>
      <c r="M572" s="2" t="s">
        <v>2165</v>
      </c>
      <c r="N572" s="2" t="s">
        <v>48</v>
      </c>
      <c r="O572" s="2" t="s">
        <v>2764</v>
      </c>
      <c r="Q572" s="149" t="s">
        <v>2765</v>
      </c>
      <c r="R572" s="2">
        <v>56601</v>
      </c>
      <c r="S572" s="2">
        <v>47.446337</v>
      </c>
      <c r="T572" s="2">
        <v>-94.861463999999998</v>
      </c>
      <c r="U572" s="2" t="s">
        <v>378</v>
      </c>
      <c r="V572" s="2" t="s">
        <v>1306</v>
      </c>
      <c r="W572" s="11">
        <v>100000</v>
      </c>
      <c r="AC572" s="2" t="s">
        <v>97</v>
      </c>
      <c r="AD572" s="2">
        <f t="shared" si="8"/>
        <v>2021</v>
      </c>
    </row>
    <row r="573" spans="1:30" hidden="1">
      <c r="A573" s="2" t="s">
        <v>2751</v>
      </c>
      <c r="B573" s="42">
        <v>44221</v>
      </c>
      <c r="C573" s="2" t="s">
        <v>2766</v>
      </c>
      <c r="D573" s="2" t="s">
        <v>65</v>
      </c>
      <c r="E573" s="2" t="s">
        <v>66</v>
      </c>
      <c r="F573" s="1" t="s">
        <v>34</v>
      </c>
      <c r="G573" s="2" t="s">
        <v>2767</v>
      </c>
      <c r="I573" s="10"/>
      <c r="J573" s="5">
        <v>50</v>
      </c>
      <c r="M573" s="2" t="s">
        <v>531</v>
      </c>
      <c r="N573" s="2" t="s">
        <v>300</v>
      </c>
      <c r="O573" s="2" t="s">
        <v>2768</v>
      </c>
      <c r="P573" s="2" t="s">
        <v>285</v>
      </c>
      <c r="Q573" s="149" t="s">
        <v>2769</v>
      </c>
      <c r="R573" s="2">
        <v>55401</v>
      </c>
      <c r="S573" s="2">
        <v>44.981085</v>
      </c>
      <c r="T573" s="2">
        <v>-93.265673000000007</v>
      </c>
      <c r="W573" s="10"/>
      <c r="AC573" s="2" t="s">
        <v>51</v>
      </c>
      <c r="AD573" s="2">
        <f t="shared" si="8"/>
        <v>2021</v>
      </c>
    </row>
    <row r="574" spans="1:30" hidden="1">
      <c r="A574" s="2" t="s">
        <v>2751</v>
      </c>
      <c r="B574" s="42">
        <v>44222</v>
      </c>
      <c r="C574" s="1" t="s">
        <v>2770</v>
      </c>
      <c r="D574" s="2" t="s">
        <v>1330</v>
      </c>
      <c r="E574" s="2" t="s">
        <v>99</v>
      </c>
      <c r="F574" s="1" t="s">
        <v>34</v>
      </c>
      <c r="G574" s="2" t="s">
        <v>2771</v>
      </c>
      <c r="H574" s="2" t="s">
        <v>2772</v>
      </c>
      <c r="I574" s="11">
        <v>11500000</v>
      </c>
      <c r="J574" s="5">
        <v>19</v>
      </c>
      <c r="M574" s="1" t="s">
        <v>154</v>
      </c>
      <c r="N574" s="2" t="s">
        <v>86</v>
      </c>
      <c r="O574" s="2" t="s">
        <v>2773</v>
      </c>
      <c r="Q574" s="163" t="s">
        <v>2774</v>
      </c>
      <c r="R574" s="2">
        <v>55112</v>
      </c>
      <c r="S574" s="2">
        <v>45.071154999999997</v>
      </c>
      <c r="T574" s="2">
        <v>-93.189251999999996</v>
      </c>
      <c r="U574" s="2" t="s">
        <v>378</v>
      </c>
      <c r="V574" s="2" t="s">
        <v>1306</v>
      </c>
      <c r="W574" s="11">
        <v>190000</v>
      </c>
      <c r="Y574" s="2" t="s">
        <v>2775</v>
      </c>
      <c r="Z574" s="2" t="s">
        <v>2776</v>
      </c>
      <c r="AB574" s="2" t="s">
        <v>347</v>
      </c>
      <c r="AC574" s="2" t="s">
        <v>51</v>
      </c>
      <c r="AD574" s="2">
        <f t="shared" si="8"/>
        <v>2021</v>
      </c>
    </row>
    <row r="575" spans="1:30" hidden="1">
      <c r="A575" s="2" t="s">
        <v>2751</v>
      </c>
      <c r="B575" s="42">
        <v>44225</v>
      </c>
      <c r="C575" s="1" t="s">
        <v>2777</v>
      </c>
      <c r="D575" s="2" t="s">
        <v>951</v>
      </c>
      <c r="E575" s="2" t="s">
        <v>952</v>
      </c>
      <c r="F575" s="1" t="s">
        <v>34</v>
      </c>
      <c r="G575" s="2" t="s">
        <v>2778</v>
      </c>
      <c r="H575" s="2" t="s">
        <v>131</v>
      </c>
      <c r="I575" s="11">
        <v>3200000</v>
      </c>
      <c r="J575" s="5">
        <v>10</v>
      </c>
      <c r="M575" s="2" t="s">
        <v>2165</v>
      </c>
      <c r="N575" s="2" t="s">
        <v>48</v>
      </c>
      <c r="P575" s="2" t="s">
        <v>658</v>
      </c>
      <c r="Q575" s="149" t="s">
        <v>2779</v>
      </c>
      <c r="R575" s="2">
        <v>56362</v>
      </c>
      <c r="S575" s="2">
        <v>45.385817000000003</v>
      </c>
      <c r="T575" s="2">
        <v>-94.705899000000002</v>
      </c>
      <c r="U575" s="2" t="s">
        <v>378</v>
      </c>
      <c r="V575" s="2" t="s">
        <v>1306</v>
      </c>
      <c r="W575" s="11">
        <v>150000</v>
      </c>
      <c r="AC575" s="2" t="s">
        <v>41</v>
      </c>
      <c r="AD575" s="2">
        <f t="shared" si="8"/>
        <v>2021</v>
      </c>
    </row>
    <row r="576" spans="1:30" hidden="1">
      <c r="A576" s="2" t="s">
        <v>2751</v>
      </c>
      <c r="B576" s="42">
        <v>44229</v>
      </c>
      <c r="C576" s="2" t="s">
        <v>509</v>
      </c>
      <c r="D576" s="2" t="s">
        <v>90</v>
      </c>
      <c r="E576" s="1" t="s">
        <v>91</v>
      </c>
      <c r="F576" s="1" t="s">
        <v>34</v>
      </c>
      <c r="G576" s="2" t="s">
        <v>2780</v>
      </c>
      <c r="H576" s="2" t="s">
        <v>2108</v>
      </c>
      <c r="I576" s="11"/>
      <c r="L576" s="5">
        <v>32000</v>
      </c>
      <c r="M576" s="2" t="s">
        <v>2109</v>
      </c>
      <c r="N576" s="1" t="s">
        <v>37</v>
      </c>
      <c r="O576" s="2" t="s">
        <v>2781</v>
      </c>
      <c r="P576" s="2" t="s">
        <v>285</v>
      </c>
      <c r="Q576" s="149" t="s">
        <v>2782</v>
      </c>
      <c r="R576" s="2">
        <v>55805</v>
      </c>
      <c r="S576" s="2">
        <v>46.792817999999997</v>
      </c>
      <c r="T576" s="2">
        <v>-92.095934</v>
      </c>
      <c r="W576" s="11"/>
      <c r="AC576" s="2" t="s">
        <v>97</v>
      </c>
      <c r="AD576" s="2">
        <f t="shared" si="8"/>
        <v>2021</v>
      </c>
    </row>
    <row r="577" spans="1:30" hidden="1">
      <c r="A577" s="2" t="s">
        <v>2751</v>
      </c>
      <c r="B577" s="148">
        <v>44229</v>
      </c>
      <c r="C577" s="145" t="s">
        <v>2783</v>
      </c>
      <c r="D577" s="145" t="s">
        <v>776</v>
      </c>
      <c r="E577" s="2" t="s">
        <v>66</v>
      </c>
      <c r="F577" s="1" t="s">
        <v>34</v>
      </c>
      <c r="G577" s="2" t="s">
        <v>2784</v>
      </c>
      <c r="H577" s="2" t="s">
        <v>2785</v>
      </c>
      <c r="I577" s="11"/>
      <c r="M577" s="2" t="s">
        <v>167</v>
      </c>
      <c r="N577" s="2" t="s">
        <v>48</v>
      </c>
      <c r="O577" s="7" t="s">
        <v>2786</v>
      </c>
      <c r="P577" s="2" t="s">
        <v>965</v>
      </c>
      <c r="R577" s="2">
        <v>55439</v>
      </c>
      <c r="S577" s="2">
        <v>44.874414000000002</v>
      </c>
      <c r="T577" s="2">
        <v>-93.375276999999997</v>
      </c>
      <c r="V577" s="150"/>
      <c r="W577" s="5"/>
      <c r="AC577" s="2" t="s">
        <v>51</v>
      </c>
      <c r="AD577" s="2">
        <f t="shared" si="8"/>
        <v>2021</v>
      </c>
    </row>
    <row r="578" spans="1:30" hidden="1">
      <c r="A578" s="2" t="s">
        <v>2751</v>
      </c>
      <c r="B578" s="42">
        <v>44231</v>
      </c>
      <c r="C578" s="2" t="s">
        <v>2787</v>
      </c>
      <c r="D578" s="2" t="s">
        <v>340</v>
      </c>
      <c r="E578" s="2" t="s">
        <v>66</v>
      </c>
      <c r="F578" s="1" t="s">
        <v>34</v>
      </c>
      <c r="G578" s="2" t="s">
        <v>2788</v>
      </c>
      <c r="I578" s="11"/>
      <c r="J578" s="5">
        <v>4</v>
      </c>
      <c r="M578" s="2" t="s">
        <v>531</v>
      </c>
      <c r="N578" s="2" t="s">
        <v>300</v>
      </c>
      <c r="O578" s="2" t="s">
        <v>2789</v>
      </c>
      <c r="P578" s="2" t="s">
        <v>965</v>
      </c>
      <c r="Q578" s="149" t="s">
        <v>2790</v>
      </c>
      <c r="R578" s="2">
        <v>55441</v>
      </c>
      <c r="S578" s="2">
        <v>44.987428999999999</v>
      </c>
      <c r="T578" s="2">
        <v>-93.416357000000005</v>
      </c>
      <c r="W578" s="11"/>
      <c r="AC578" s="2" t="s">
        <v>51</v>
      </c>
      <c r="AD578" s="2">
        <f t="shared" ref="AD578:AD641" si="9">YEAR(B578)</f>
        <v>2021</v>
      </c>
    </row>
    <row r="579" spans="1:30" hidden="1">
      <c r="A579" s="2" t="s">
        <v>2751</v>
      </c>
      <c r="B579" s="42">
        <v>44232</v>
      </c>
      <c r="C579" s="90" t="s">
        <v>687</v>
      </c>
      <c r="D579" s="2" t="s">
        <v>1051</v>
      </c>
      <c r="E579" s="2" t="s">
        <v>66</v>
      </c>
      <c r="F579" s="1" t="s">
        <v>34</v>
      </c>
      <c r="G579" s="2" t="s">
        <v>2791</v>
      </c>
      <c r="H579" s="2" t="s">
        <v>131</v>
      </c>
      <c r="I579" s="10">
        <v>95000000</v>
      </c>
      <c r="J579" s="29"/>
      <c r="L579" s="5">
        <v>500000</v>
      </c>
      <c r="M579" s="2" t="s">
        <v>93</v>
      </c>
      <c r="N579" s="2" t="s">
        <v>48</v>
      </c>
      <c r="O579" s="2" t="s">
        <v>2792</v>
      </c>
      <c r="P579" s="2" t="s">
        <v>965</v>
      </c>
      <c r="R579" s="2">
        <v>55311</v>
      </c>
      <c r="S579" s="2">
        <v>45.124262999999999</v>
      </c>
      <c r="T579" s="2">
        <v>-93.499583000000001</v>
      </c>
      <c r="W579" s="55"/>
      <c r="AC579" s="2" t="s">
        <v>51</v>
      </c>
      <c r="AD579" s="2">
        <f t="shared" si="9"/>
        <v>2021</v>
      </c>
    </row>
    <row r="580" spans="1:30" hidden="1">
      <c r="A580" s="2" t="s">
        <v>2751</v>
      </c>
      <c r="B580" s="42">
        <v>44235</v>
      </c>
      <c r="C580" s="90" t="s">
        <v>2793</v>
      </c>
      <c r="D580" s="2" t="s">
        <v>2113</v>
      </c>
      <c r="E580" s="2" t="s">
        <v>99</v>
      </c>
      <c r="F580" s="1" t="s">
        <v>34</v>
      </c>
      <c r="G580" s="2" t="s">
        <v>2794</v>
      </c>
      <c r="H580" s="2" t="s">
        <v>2079</v>
      </c>
      <c r="I580" s="36"/>
      <c r="J580" s="5">
        <v>50</v>
      </c>
      <c r="L580" s="5">
        <v>7000</v>
      </c>
      <c r="M580" s="2" t="s">
        <v>1636</v>
      </c>
      <c r="N580" s="2" t="s">
        <v>140</v>
      </c>
      <c r="O580" s="2" t="s">
        <v>2795</v>
      </c>
      <c r="P580" s="2" t="s">
        <v>285</v>
      </c>
      <c r="Q580" s="149" t="s">
        <v>2796</v>
      </c>
      <c r="R580" s="2">
        <v>55104</v>
      </c>
      <c r="S580" s="2">
        <v>44.955615000000002</v>
      </c>
      <c r="T580" s="2">
        <v>-93.167019999999994</v>
      </c>
      <c r="W580" s="55"/>
      <c r="AC580" s="2" t="s">
        <v>51</v>
      </c>
      <c r="AD580" s="2">
        <f t="shared" si="9"/>
        <v>2021</v>
      </c>
    </row>
    <row r="581" spans="1:30" hidden="1">
      <c r="A581" s="2" t="s">
        <v>2751</v>
      </c>
      <c r="B581" s="42">
        <v>44240</v>
      </c>
      <c r="C581" s="40" t="s">
        <v>2797</v>
      </c>
      <c r="D581" s="2" t="s">
        <v>728</v>
      </c>
      <c r="E581" s="2" t="s">
        <v>395</v>
      </c>
      <c r="F581" s="1" t="s">
        <v>34</v>
      </c>
      <c r="G581" s="2" t="s">
        <v>2798</v>
      </c>
      <c r="H581" s="2" t="s">
        <v>131</v>
      </c>
      <c r="I581" s="36">
        <v>8388775</v>
      </c>
      <c r="J581" s="35">
        <v>85</v>
      </c>
      <c r="M581" s="2" t="s">
        <v>2799</v>
      </c>
      <c r="N581" s="2" t="s">
        <v>48</v>
      </c>
      <c r="O581" s="2" t="s">
        <v>2800</v>
      </c>
      <c r="Q581" s="2" t="s">
        <v>2801</v>
      </c>
      <c r="R581" s="2">
        <v>55330</v>
      </c>
      <c r="S581" s="2">
        <v>45.287835000000001</v>
      </c>
      <c r="T581" s="2">
        <v>-93.543792999999994</v>
      </c>
      <c r="U581" s="2" t="s">
        <v>378</v>
      </c>
      <c r="V581" s="2" t="s">
        <v>1306</v>
      </c>
      <c r="W581" s="36">
        <v>182000</v>
      </c>
      <c r="AC581" s="2" t="s">
        <v>41</v>
      </c>
      <c r="AD581" s="2">
        <f t="shared" si="9"/>
        <v>2021</v>
      </c>
    </row>
    <row r="582" spans="1:30" hidden="1">
      <c r="A582" s="2" t="s">
        <v>2751</v>
      </c>
      <c r="B582" s="42">
        <v>44241</v>
      </c>
      <c r="C582" s="216" t="s">
        <v>2802</v>
      </c>
      <c r="D582" s="2" t="s">
        <v>65</v>
      </c>
      <c r="E582" s="2" t="s">
        <v>66</v>
      </c>
      <c r="F582" s="1" t="s">
        <v>34</v>
      </c>
      <c r="G582" s="2" t="s">
        <v>2803</v>
      </c>
      <c r="I582" s="10"/>
      <c r="J582" s="29">
        <v>50</v>
      </c>
      <c r="M582" s="2" t="s">
        <v>85</v>
      </c>
      <c r="N582" s="2" t="s">
        <v>86</v>
      </c>
      <c r="O582" s="2" t="s">
        <v>2804</v>
      </c>
      <c r="P582" s="2" t="s">
        <v>285</v>
      </c>
      <c r="Q582" s="2" t="s">
        <v>2805</v>
      </c>
      <c r="R582" s="2">
        <v>55401</v>
      </c>
      <c r="S582" s="2">
        <v>44.989386000000003</v>
      </c>
      <c r="T582" s="2">
        <v>-93.278626000000003</v>
      </c>
      <c r="W582" s="10"/>
      <c r="AC582" s="2" t="s">
        <v>51</v>
      </c>
      <c r="AD582" s="2">
        <f t="shared" si="9"/>
        <v>2021</v>
      </c>
    </row>
    <row r="583" spans="1:30" hidden="1">
      <c r="A583" s="2" t="s">
        <v>2751</v>
      </c>
      <c r="B583" s="42">
        <v>44245</v>
      </c>
      <c r="C583" s="69" t="s">
        <v>1897</v>
      </c>
      <c r="D583" s="2" t="s">
        <v>111</v>
      </c>
      <c r="E583" s="2" t="s">
        <v>112</v>
      </c>
      <c r="F583" s="1" t="s">
        <v>34</v>
      </c>
      <c r="G583" s="2" t="s">
        <v>2806</v>
      </c>
      <c r="I583" s="36"/>
      <c r="J583" s="35"/>
      <c r="M583" s="1" t="s">
        <v>737</v>
      </c>
      <c r="N583" s="2" t="s">
        <v>300</v>
      </c>
      <c r="O583" s="7" t="s">
        <v>2807</v>
      </c>
      <c r="P583" s="1" t="s">
        <v>1327</v>
      </c>
      <c r="R583" s="2">
        <v>55901</v>
      </c>
      <c r="S583" s="2">
        <v>44.075285000000001</v>
      </c>
      <c r="T583" s="2">
        <v>-92.516915999999995</v>
      </c>
      <c r="W583" s="36"/>
      <c r="AC583" s="2" t="s">
        <v>120</v>
      </c>
      <c r="AD583" s="2">
        <f t="shared" si="9"/>
        <v>2021</v>
      </c>
    </row>
    <row r="584" spans="1:30" hidden="1">
      <c r="A584" s="2" t="s">
        <v>2751</v>
      </c>
      <c r="B584" s="42">
        <v>44246</v>
      </c>
      <c r="C584" s="40" t="s">
        <v>832</v>
      </c>
      <c r="D584" s="2" t="s">
        <v>2556</v>
      </c>
      <c r="E584" s="2" t="s">
        <v>66</v>
      </c>
      <c r="F584" s="1" t="s">
        <v>34</v>
      </c>
      <c r="G584" s="2" t="s">
        <v>2808</v>
      </c>
      <c r="H584" s="2" t="s">
        <v>2809</v>
      </c>
      <c r="I584" s="36">
        <v>9000000</v>
      </c>
      <c r="J584" s="35"/>
      <c r="L584" s="5">
        <v>150000</v>
      </c>
      <c r="M584" s="2" t="s">
        <v>93</v>
      </c>
      <c r="N584" s="2" t="s">
        <v>313</v>
      </c>
      <c r="O584" s="2" t="s">
        <v>2810</v>
      </c>
      <c r="P584" s="2" t="s">
        <v>285</v>
      </c>
      <c r="Q584" s="2" t="s">
        <v>2811</v>
      </c>
      <c r="R584" s="2">
        <v>55420</v>
      </c>
      <c r="S584" s="2">
        <v>44.861451000000002</v>
      </c>
      <c r="T584" s="2">
        <v>-93.259390999999994</v>
      </c>
      <c r="W584" s="36"/>
      <c r="AC584" s="2" t="s">
        <v>51</v>
      </c>
      <c r="AD584" s="2">
        <f t="shared" si="9"/>
        <v>2021</v>
      </c>
    </row>
    <row r="585" spans="1:30" hidden="1">
      <c r="A585" s="2" t="s">
        <v>2751</v>
      </c>
      <c r="B585" s="42">
        <v>44253</v>
      </c>
      <c r="C585" s="69" t="s">
        <v>2348</v>
      </c>
      <c r="D585" s="2" t="s">
        <v>90</v>
      </c>
      <c r="E585" s="1" t="s">
        <v>91</v>
      </c>
      <c r="F585" s="1" t="s">
        <v>34</v>
      </c>
      <c r="G585" s="2" t="s">
        <v>2812</v>
      </c>
      <c r="I585" s="10"/>
      <c r="J585" s="29"/>
      <c r="M585" s="2" t="s">
        <v>417</v>
      </c>
      <c r="N585" s="2" t="s">
        <v>48</v>
      </c>
      <c r="O585" s="2" t="s">
        <v>2813</v>
      </c>
      <c r="P585" s="2" t="s">
        <v>285</v>
      </c>
      <c r="Q585" s="163" t="s">
        <v>2814</v>
      </c>
      <c r="R585" s="2">
        <v>55811</v>
      </c>
      <c r="S585" s="2">
        <v>46.838329000000002</v>
      </c>
      <c r="T585" s="2">
        <v>-92.203635000000006</v>
      </c>
      <c r="W585" s="10"/>
      <c r="AC585" s="2" t="s">
        <v>97</v>
      </c>
      <c r="AD585" s="2">
        <f t="shared" si="9"/>
        <v>2021</v>
      </c>
    </row>
    <row r="586" spans="1:30" hidden="1">
      <c r="A586" s="2" t="s">
        <v>2751</v>
      </c>
      <c r="B586" s="42">
        <v>44254</v>
      </c>
      <c r="C586" s="40" t="s">
        <v>1699</v>
      </c>
      <c r="D586" s="2" t="s">
        <v>448</v>
      </c>
      <c r="E586" s="2" t="s">
        <v>66</v>
      </c>
      <c r="F586" s="1" t="s">
        <v>34</v>
      </c>
      <c r="G586" s="2" t="s">
        <v>2815</v>
      </c>
      <c r="I586" s="10"/>
      <c r="J586" s="29">
        <v>150</v>
      </c>
      <c r="M586" s="2" t="s">
        <v>85</v>
      </c>
      <c r="N586" s="2" t="s">
        <v>86</v>
      </c>
      <c r="O586" s="2" t="s">
        <v>2816</v>
      </c>
      <c r="P586" s="2" t="s">
        <v>285</v>
      </c>
      <c r="Q586" s="149" t="s">
        <v>2817</v>
      </c>
      <c r="R586" s="2">
        <v>55347</v>
      </c>
      <c r="S586" s="2">
        <v>44.841734000000002</v>
      </c>
      <c r="T586" s="2">
        <v>-93.441980999999998</v>
      </c>
      <c r="W586" s="10"/>
      <c r="AC586" s="2" t="s">
        <v>51</v>
      </c>
      <c r="AD586" s="2">
        <f t="shared" si="9"/>
        <v>2021</v>
      </c>
    </row>
    <row r="587" spans="1:30" hidden="1">
      <c r="A587" s="2" t="s">
        <v>2751</v>
      </c>
      <c r="B587" s="42">
        <v>44255</v>
      </c>
      <c r="C587" s="69" t="s">
        <v>2818</v>
      </c>
      <c r="D587" s="2" t="s">
        <v>65</v>
      </c>
      <c r="E587" s="2" t="s">
        <v>66</v>
      </c>
      <c r="F587" s="1" t="s">
        <v>34</v>
      </c>
      <c r="G587" s="2" t="s">
        <v>2819</v>
      </c>
      <c r="I587" s="11"/>
      <c r="M587" s="2" t="s">
        <v>2820</v>
      </c>
      <c r="N587" s="2" t="s">
        <v>103</v>
      </c>
      <c r="O587" s="2" t="s">
        <v>2821</v>
      </c>
      <c r="P587" s="2" t="s">
        <v>285</v>
      </c>
      <c r="Q587" s="2" t="s">
        <v>2822</v>
      </c>
      <c r="R587" s="2">
        <v>55413</v>
      </c>
      <c r="S587" s="2">
        <v>45.001533000000002</v>
      </c>
      <c r="T587" s="2">
        <v>-93.210010999999994</v>
      </c>
      <c r="W587" s="11"/>
      <c r="AC587" s="2" t="s">
        <v>51</v>
      </c>
      <c r="AD587" s="2">
        <f t="shared" si="9"/>
        <v>2021</v>
      </c>
    </row>
    <row r="588" spans="1:30" hidden="1">
      <c r="A588" s="2" t="s">
        <v>2751</v>
      </c>
      <c r="B588" s="42">
        <v>44256</v>
      </c>
      <c r="C588" s="216" t="s">
        <v>2823</v>
      </c>
      <c r="D588" s="2" t="s">
        <v>2556</v>
      </c>
      <c r="E588" s="2" t="s">
        <v>66</v>
      </c>
      <c r="F588" s="1" t="s">
        <v>34</v>
      </c>
      <c r="G588" s="2" t="s">
        <v>2824</v>
      </c>
      <c r="H588" s="2" t="s">
        <v>2825</v>
      </c>
      <c r="I588" s="11"/>
      <c r="L588" s="5">
        <v>45000</v>
      </c>
      <c r="M588" s="2" t="s">
        <v>2826</v>
      </c>
      <c r="N588" s="2" t="s">
        <v>48</v>
      </c>
      <c r="O588" s="7" t="s">
        <v>2827</v>
      </c>
      <c r="P588" s="2" t="s">
        <v>965</v>
      </c>
      <c r="Q588" s="2" t="s">
        <v>2828</v>
      </c>
      <c r="R588" s="2">
        <v>55416</v>
      </c>
      <c r="S588" s="2">
        <v>44.944020000000002</v>
      </c>
      <c r="T588" s="2">
        <v>-93.343669000000006</v>
      </c>
      <c r="W588" s="11"/>
      <c r="AC588" s="2" t="s">
        <v>51</v>
      </c>
      <c r="AD588" s="2">
        <f t="shared" si="9"/>
        <v>2021</v>
      </c>
    </row>
    <row r="589" spans="1:30" hidden="1">
      <c r="A589" s="2" t="s">
        <v>2751</v>
      </c>
      <c r="B589" s="148">
        <v>44257</v>
      </c>
      <c r="C589" s="145" t="s">
        <v>2617</v>
      </c>
      <c r="D589" s="145" t="s">
        <v>65</v>
      </c>
      <c r="E589" s="2" t="s">
        <v>66</v>
      </c>
      <c r="F589" s="1" t="s">
        <v>34</v>
      </c>
      <c r="G589" s="2" t="s">
        <v>2829</v>
      </c>
      <c r="H589" s="2" t="s">
        <v>2214</v>
      </c>
      <c r="I589" s="11">
        <v>17400000</v>
      </c>
      <c r="L589" s="5">
        <v>399000</v>
      </c>
      <c r="N589" s="2" t="s">
        <v>253</v>
      </c>
      <c r="O589" s="7" t="s">
        <v>2830</v>
      </c>
      <c r="P589" s="2" t="s">
        <v>965</v>
      </c>
      <c r="Q589" s="149" t="s">
        <v>2831</v>
      </c>
      <c r="R589" s="2">
        <v>55402</v>
      </c>
      <c r="S589" s="2">
        <v>44.977378000000002</v>
      </c>
      <c r="T589" s="2">
        <v>-93.273094</v>
      </c>
      <c r="V589" s="150"/>
      <c r="W589" s="29"/>
      <c r="AC589" s="2" t="s">
        <v>51</v>
      </c>
      <c r="AD589" s="2">
        <f t="shared" si="9"/>
        <v>2021</v>
      </c>
    </row>
    <row r="590" spans="1:30" hidden="1">
      <c r="A590" s="2" t="s">
        <v>2751</v>
      </c>
      <c r="B590" s="42">
        <v>44258</v>
      </c>
      <c r="C590" s="2" t="s">
        <v>2832</v>
      </c>
      <c r="D590" s="2" t="s">
        <v>841</v>
      </c>
      <c r="E590" s="2" t="s">
        <v>842</v>
      </c>
      <c r="F590" s="1" t="s">
        <v>34</v>
      </c>
      <c r="G590" s="2" t="s">
        <v>2833</v>
      </c>
      <c r="H590" s="2" t="s">
        <v>2834</v>
      </c>
      <c r="I590" s="10">
        <v>35000000</v>
      </c>
      <c r="J590" s="5">
        <v>35</v>
      </c>
      <c r="M590" s="2" t="s">
        <v>684</v>
      </c>
      <c r="N590" s="2" t="s">
        <v>48</v>
      </c>
      <c r="O590" s="2" t="s">
        <v>2835</v>
      </c>
      <c r="R590" s="2">
        <v>55912</v>
      </c>
      <c r="S590" s="2">
        <v>43.699305000000003</v>
      </c>
      <c r="T590" s="2">
        <v>-92.976817999999994</v>
      </c>
      <c r="U590" s="2" t="s">
        <v>378</v>
      </c>
      <c r="V590" s="2" t="s">
        <v>2836</v>
      </c>
      <c r="W590" s="10">
        <f>500000+338360</f>
        <v>838360</v>
      </c>
      <c r="AC590" s="2" t="s">
        <v>120</v>
      </c>
      <c r="AD590" s="2">
        <f t="shared" si="9"/>
        <v>2021</v>
      </c>
    </row>
    <row r="591" spans="1:30" hidden="1">
      <c r="A591" s="2" t="s">
        <v>2751</v>
      </c>
      <c r="B591" s="42">
        <v>44260</v>
      </c>
      <c r="C591" s="164" t="s">
        <v>2837</v>
      </c>
      <c r="D591" s="2" t="s">
        <v>2838</v>
      </c>
      <c r="E591" s="2" t="s">
        <v>2839</v>
      </c>
      <c r="F591" s="1" t="s">
        <v>34</v>
      </c>
      <c r="G591" s="2" t="s">
        <v>2840</v>
      </c>
      <c r="H591" s="2" t="s">
        <v>131</v>
      </c>
      <c r="I591" s="10">
        <v>2118445</v>
      </c>
      <c r="J591" s="29">
        <v>20</v>
      </c>
      <c r="M591" s="1" t="s">
        <v>47</v>
      </c>
      <c r="N591" s="2" t="s">
        <v>48</v>
      </c>
      <c r="O591" s="2" t="s">
        <v>2841</v>
      </c>
      <c r="Q591" s="149" t="s">
        <v>2842</v>
      </c>
      <c r="R591" s="2">
        <v>56701</v>
      </c>
      <c r="S591" s="2">
        <v>48.113188000000001</v>
      </c>
      <c r="T591" s="2">
        <v>-96.176660999999996</v>
      </c>
      <c r="U591" s="2" t="s">
        <v>378</v>
      </c>
      <c r="V591" s="2" t="s">
        <v>2627</v>
      </c>
      <c r="W591" s="134">
        <v>200000</v>
      </c>
      <c r="AC591" s="2" t="s">
        <v>97</v>
      </c>
      <c r="AD591" s="2">
        <f t="shared" si="9"/>
        <v>2021</v>
      </c>
    </row>
    <row r="592" spans="1:30" hidden="1">
      <c r="A592" s="42" t="s">
        <v>2751</v>
      </c>
      <c r="B592" s="148">
        <v>44263</v>
      </c>
      <c r="C592" s="2" t="s">
        <v>1782</v>
      </c>
      <c r="D592" s="2" t="s">
        <v>270</v>
      </c>
      <c r="E592" s="2" t="s">
        <v>99</v>
      </c>
      <c r="F592" s="1" t="s">
        <v>34</v>
      </c>
      <c r="G592" s="46" t="s">
        <v>2843</v>
      </c>
      <c r="H592" s="2" t="s">
        <v>131</v>
      </c>
      <c r="I592" s="10">
        <v>20000000</v>
      </c>
      <c r="J592" s="29">
        <v>150</v>
      </c>
      <c r="L592" s="5">
        <v>17500</v>
      </c>
      <c r="M592" s="2" t="s">
        <v>167</v>
      </c>
      <c r="N592" s="2" t="s">
        <v>48</v>
      </c>
      <c r="O592" s="7" t="s">
        <v>2844</v>
      </c>
      <c r="P592" s="2" t="s">
        <v>2845</v>
      </c>
      <c r="Q592" s="2" t="s">
        <v>2846</v>
      </c>
      <c r="R592" s="2">
        <v>55112</v>
      </c>
      <c r="S592" s="2">
        <v>45.067286000000003</v>
      </c>
      <c r="T592" s="2">
        <v>-93.151132000000004</v>
      </c>
      <c r="U592" s="2" t="s">
        <v>378</v>
      </c>
      <c r="V592" s="150" t="s">
        <v>2847</v>
      </c>
      <c r="W592" s="29">
        <f>840000</f>
        <v>840000</v>
      </c>
      <c r="AC592" s="2" t="s">
        <v>51</v>
      </c>
      <c r="AD592" s="2">
        <f t="shared" si="9"/>
        <v>2021</v>
      </c>
    </row>
    <row r="593" spans="1:30" hidden="1">
      <c r="A593" s="2" t="s">
        <v>2751</v>
      </c>
      <c r="B593" s="42">
        <v>44263</v>
      </c>
      <c r="C593" s="2" t="s">
        <v>1782</v>
      </c>
      <c r="D593" s="46" t="s">
        <v>165</v>
      </c>
      <c r="E593" s="2" t="s">
        <v>66</v>
      </c>
      <c r="F593" s="1" t="s">
        <v>34</v>
      </c>
      <c r="G593" s="2" t="s">
        <v>2848</v>
      </c>
      <c r="H593" s="2" t="s">
        <v>131</v>
      </c>
      <c r="I593" s="11"/>
      <c r="L593" s="5">
        <v>78000</v>
      </c>
      <c r="M593" s="2" t="s">
        <v>167</v>
      </c>
      <c r="N593" s="2" t="s">
        <v>48</v>
      </c>
      <c r="O593" s="7" t="s">
        <v>2849</v>
      </c>
      <c r="P593" s="2" t="s">
        <v>2850</v>
      </c>
      <c r="Q593" s="2" t="s">
        <v>2851</v>
      </c>
      <c r="R593" s="2">
        <v>55311</v>
      </c>
      <c r="S593" s="2">
        <v>45.102491000000001</v>
      </c>
      <c r="T593" s="2">
        <v>-93.468008999999995</v>
      </c>
      <c r="AC593" s="2" t="s">
        <v>51</v>
      </c>
      <c r="AD593" s="2">
        <f t="shared" si="9"/>
        <v>2021</v>
      </c>
    </row>
    <row r="594" spans="1:30" ht="15.75" hidden="1">
      <c r="A594" s="2" t="s">
        <v>2751</v>
      </c>
      <c r="B594" s="42">
        <v>44265</v>
      </c>
      <c r="C594" s="2" t="s">
        <v>2852</v>
      </c>
      <c r="D594" s="2" t="s">
        <v>165</v>
      </c>
      <c r="E594" s="2" t="s">
        <v>66</v>
      </c>
      <c r="F594" s="1" t="s">
        <v>34</v>
      </c>
      <c r="G594" s="2" t="s">
        <v>2853</v>
      </c>
      <c r="H594" s="2" t="s">
        <v>2214</v>
      </c>
      <c r="I594" s="10"/>
      <c r="J594" s="29"/>
      <c r="L594" s="5">
        <v>21400</v>
      </c>
      <c r="M594" s="2" t="s">
        <v>574</v>
      </c>
      <c r="N594" s="2" t="s">
        <v>48</v>
      </c>
      <c r="O594" s="7" t="s">
        <v>2854</v>
      </c>
      <c r="P594" s="2" t="s">
        <v>965</v>
      </c>
      <c r="Q594" s="153" t="s">
        <v>2855</v>
      </c>
      <c r="R594" s="2">
        <v>55369</v>
      </c>
      <c r="S594" s="2">
        <v>45.092244999999998</v>
      </c>
      <c r="T594" s="2">
        <v>-93.414507</v>
      </c>
      <c r="W594" s="10"/>
      <c r="AC594" s="2" t="s">
        <v>51</v>
      </c>
      <c r="AD594" s="2">
        <f t="shared" si="9"/>
        <v>2021</v>
      </c>
    </row>
    <row r="595" spans="1:30" hidden="1">
      <c r="A595" s="2" t="s">
        <v>2751</v>
      </c>
      <c r="B595" s="42">
        <v>44270</v>
      </c>
      <c r="C595" s="190" t="s">
        <v>2856</v>
      </c>
      <c r="D595" s="2" t="s">
        <v>2857</v>
      </c>
      <c r="E595" s="2" t="s">
        <v>572</v>
      </c>
      <c r="F595" s="1" t="s">
        <v>34</v>
      </c>
      <c r="G595" s="2" t="s">
        <v>2858</v>
      </c>
      <c r="H595" s="2" t="s">
        <v>131</v>
      </c>
      <c r="I595" s="36">
        <v>31233190</v>
      </c>
      <c r="J595" s="35">
        <v>135</v>
      </c>
      <c r="L595" s="5">
        <v>180000</v>
      </c>
      <c r="M595" s="2" t="s">
        <v>2859</v>
      </c>
      <c r="N595" s="2" t="s">
        <v>48</v>
      </c>
      <c r="O595" s="2" t="s">
        <v>2860</v>
      </c>
      <c r="R595" s="2">
        <v>55301</v>
      </c>
      <c r="S595" s="2">
        <v>45.258673000000002</v>
      </c>
      <c r="T595" s="2">
        <v>-93.664342000000005</v>
      </c>
      <c r="U595" s="2" t="s">
        <v>378</v>
      </c>
      <c r="V595" s="2" t="s">
        <v>2861</v>
      </c>
      <c r="W595" s="229">
        <f>450000+175000+2260000+2*200000+20000</f>
        <v>3305000</v>
      </c>
      <c r="AC595" s="2" t="s">
        <v>41</v>
      </c>
      <c r="AD595" s="2">
        <f t="shared" si="9"/>
        <v>2021</v>
      </c>
    </row>
    <row r="596" spans="1:30" hidden="1">
      <c r="A596" s="2" t="s">
        <v>2751</v>
      </c>
      <c r="B596" s="92">
        <v>44270</v>
      </c>
      <c r="C596" s="216" t="s">
        <v>2862</v>
      </c>
      <c r="D596" s="2" t="s">
        <v>2113</v>
      </c>
      <c r="E596" s="2" t="s">
        <v>99</v>
      </c>
      <c r="F596" s="1" t="s">
        <v>34</v>
      </c>
      <c r="G596" s="2" t="s">
        <v>2863</v>
      </c>
      <c r="H596" s="2" t="s">
        <v>188</v>
      </c>
      <c r="I596" s="10">
        <f>3500000+3650000</f>
        <v>7150000</v>
      </c>
      <c r="J596" s="29">
        <v>70</v>
      </c>
      <c r="L596" s="5">
        <v>78857</v>
      </c>
      <c r="M596" s="2" t="s">
        <v>762</v>
      </c>
      <c r="N596" s="2" t="s">
        <v>762</v>
      </c>
      <c r="O596" s="2" t="s">
        <v>2864</v>
      </c>
      <c r="R596" s="2">
        <v>55104</v>
      </c>
      <c r="S596" s="2">
        <v>44.955615000000002</v>
      </c>
      <c r="T596" s="2">
        <v>-93.167019999999994</v>
      </c>
      <c r="U596" s="2" t="s">
        <v>378</v>
      </c>
      <c r="V596" s="165" t="s">
        <v>1576</v>
      </c>
      <c r="W596" s="228">
        <v>275000</v>
      </c>
      <c r="AC596" s="2" t="s">
        <v>51</v>
      </c>
      <c r="AD596" s="2">
        <f t="shared" si="9"/>
        <v>2021</v>
      </c>
    </row>
    <row r="597" spans="1:30" hidden="1">
      <c r="A597" s="2" t="s">
        <v>2751</v>
      </c>
      <c r="B597" s="42">
        <v>44278</v>
      </c>
      <c r="C597" s="2" t="s">
        <v>2865</v>
      </c>
      <c r="D597" s="2" t="s">
        <v>493</v>
      </c>
      <c r="E597" s="2" t="s">
        <v>44</v>
      </c>
      <c r="F597" s="1" t="s">
        <v>34</v>
      </c>
      <c r="G597" s="2" t="s">
        <v>2866</v>
      </c>
      <c r="I597" s="11"/>
      <c r="J597" s="5">
        <v>250</v>
      </c>
      <c r="M597" s="2" t="s">
        <v>2867</v>
      </c>
      <c r="N597" s="2" t="s">
        <v>48</v>
      </c>
      <c r="O597" s="2" t="s">
        <v>2868</v>
      </c>
      <c r="P597" s="2" t="s">
        <v>285</v>
      </c>
      <c r="Q597" s="2" t="s">
        <v>2869</v>
      </c>
      <c r="R597" s="2">
        <v>55003</v>
      </c>
      <c r="S597" s="2">
        <v>45.02431</v>
      </c>
      <c r="T597" s="2">
        <v>-92.778187000000003</v>
      </c>
      <c r="W597" s="11"/>
      <c r="AC597" s="2" t="s">
        <v>51</v>
      </c>
      <c r="AD597" s="2">
        <f t="shared" si="9"/>
        <v>2021</v>
      </c>
    </row>
    <row r="598" spans="1:30" hidden="1">
      <c r="A598" s="2" t="s">
        <v>2751</v>
      </c>
      <c r="B598" s="42">
        <v>44278</v>
      </c>
      <c r="C598" s="2" t="s">
        <v>2865</v>
      </c>
      <c r="D598" s="2" t="s">
        <v>219</v>
      </c>
      <c r="E598" s="1" t="s">
        <v>44</v>
      </c>
      <c r="F598" s="1" t="s">
        <v>34</v>
      </c>
      <c r="G598" s="2" t="s">
        <v>2866</v>
      </c>
      <c r="I598" s="11"/>
      <c r="M598" s="2" t="s">
        <v>2867</v>
      </c>
      <c r="N598" s="2" t="s">
        <v>48</v>
      </c>
      <c r="O598" s="2" t="s">
        <v>2868</v>
      </c>
      <c r="P598" s="2" t="s">
        <v>285</v>
      </c>
      <c r="Q598" s="1" t="s">
        <v>2870</v>
      </c>
      <c r="R598" s="2">
        <v>55016</v>
      </c>
      <c r="S598" s="44">
        <v>44.805760999999997</v>
      </c>
      <c r="T598" s="45">
        <v>-92.936406000000005</v>
      </c>
      <c r="W598" s="11"/>
      <c r="Y598" s="1" t="s">
        <v>492</v>
      </c>
      <c r="Z598" s="1" t="s">
        <v>493</v>
      </c>
      <c r="AA598" s="1" t="s">
        <v>34</v>
      </c>
      <c r="AC598" s="2" t="s">
        <v>51</v>
      </c>
      <c r="AD598" s="2">
        <f t="shared" si="9"/>
        <v>2021</v>
      </c>
    </row>
    <row r="599" spans="1:30" hidden="1">
      <c r="A599" s="2" t="s">
        <v>2751</v>
      </c>
      <c r="B599" s="42">
        <v>44278</v>
      </c>
      <c r="C599" s="2" t="s">
        <v>2865</v>
      </c>
      <c r="D599" s="2" t="s">
        <v>2871</v>
      </c>
      <c r="E599" s="1" t="s">
        <v>1557</v>
      </c>
      <c r="F599" s="1" t="s">
        <v>34</v>
      </c>
      <c r="G599" s="2" t="s">
        <v>2866</v>
      </c>
      <c r="I599" s="11"/>
      <c r="M599" s="2" t="s">
        <v>2867</v>
      </c>
      <c r="N599" s="2" t="s">
        <v>48</v>
      </c>
      <c r="O599" s="2" t="s">
        <v>2868</v>
      </c>
      <c r="P599" s="2" t="s">
        <v>285</v>
      </c>
      <c r="Q599" s="1" t="s">
        <v>2872</v>
      </c>
      <c r="R599" s="2">
        <v>55056</v>
      </c>
      <c r="S599" s="44">
        <v>45.525526999999997</v>
      </c>
      <c r="T599" s="45">
        <v>-92.975840000000005</v>
      </c>
      <c r="W599" s="11"/>
      <c r="Y599" s="1" t="s">
        <v>492</v>
      </c>
      <c r="Z599" s="1" t="s">
        <v>493</v>
      </c>
      <c r="AA599" s="1" t="s">
        <v>34</v>
      </c>
      <c r="AC599" s="2" t="s">
        <v>41</v>
      </c>
      <c r="AD599" s="2">
        <f t="shared" si="9"/>
        <v>2021</v>
      </c>
    </row>
    <row r="600" spans="1:30" hidden="1">
      <c r="A600" s="2" t="s">
        <v>2751</v>
      </c>
      <c r="B600" s="42">
        <v>44278</v>
      </c>
      <c r="C600" s="2" t="s">
        <v>2873</v>
      </c>
      <c r="D600" s="2" t="s">
        <v>2874</v>
      </c>
      <c r="E600" s="2" t="s">
        <v>2875</v>
      </c>
      <c r="F600" s="1" t="s">
        <v>34</v>
      </c>
      <c r="G600" s="2" t="s">
        <v>2876</v>
      </c>
      <c r="I600" s="10"/>
      <c r="J600" s="29">
        <v>100</v>
      </c>
      <c r="M600" s="2" t="s">
        <v>2867</v>
      </c>
      <c r="N600" s="2" t="s">
        <v>48</v>
      </c>
      <c r="O600" s="2" t="s">
        <v>2868</v>
      </c>
      <c r="P600" s="2" t="s">
        <v>285</v>
      </c>
      <c r="Q600" s="2" t="s">
        <v>2877</v>
      </c>
      <c r="R600" s="2">
        <v>56763</v>
      </c>
      <c r="S600" s="2">
        <v>48.933329999999998</v>
      </c>
      <c r="T600" s="2">
        <v>-95.35</v>
      </c>
      <c r="W600" s="10"/>
      <c r="AC600" s="2" t="s">
        <v>97</v>
      </c>
      <c r="AD600" s="2">
        <f t="shared" si="9"/>
        <v>2021</v>
      </c>
    </row>
    <row r="601" spans="1:30" hidden="1">
      <c r="A601" s="2" t="s">
        <v>2751</v>
      </c>
      <c r="B601" s="42">
        <v>44278</v>
      </c>
      <c r="C601" s="2" t="s">
        <v>2878</v>
      </c>
      <c r="D601" s="2" t="s">
        <v>340</v>
      </c>
      <c r="E601" s="2" t="s">
        <v>66</v>
      </c>
      <c r="F601" s="1" t="s">
        <v>34</v>
      </c>
      <c r="G601" s="2" t="s">
        <v>2879</v>
      </c>
      <c r="I601" s="11"/>
      <c r="M601" s="2" t="s">
        <v>2867</v>
      </c>
      <c r="N601" s="2" t="s">
        <v>48</v>
      </c>
      <c r="O601" s="2" t="s">
        <v>2868</v>
      </c>
      <c r="P601" s="2" t="s">
        <v>285</v>
      </c>
      <c r="Q601" s="149" t="s">
        <v>2880</v>
      </c>
      <c r="R601" s="2">
        <v>55441</v>
      </c>
      <c r="S601" s="2">
        <v>45.006137000000003</v>
      </c>
      <c r="T601" s="2">
        <v>-93.456317999999996</v>
      </c>
      <c r="W601" s="11"/>
      <c r="AC601" s="2" t="s">
        <v>51</v>
      </c>
      <c r="AD601" s="2">
        <f t="shared" si="9"/>
        <v>2021</v>
      </c>
    </row>
    <row r="602" spans="1:30" hidden="1">
      <c r="A602" s="2" t="s">
        <v>2751</v>
      </c>
      <c r="B602" s="42">
        <v>44280</v>
      </c>
      <c r="C602" s="2" t="s">
        <v>2881</v>
      </c>
      <c r="D602" s="2" t="s">
        <v>65</v>
      </c>
      <c r="E602" s="2" t="s">
        <v>66</v>
      </c>
      <c r="F602" s="1" t="s">
        <v>34</v>
      </c>
      <c r="G602" s="2" t="s">
        <v>2882</v>
      </c>
      <c r="H602" s="2" t="s">
        <v>2079</v>
      </c>
      <c r="I602" s="10"/>
      <c r="J602" s="29"/>
      <c r="L602" s="5">
        <v>30536</v>
      </c>
      <c r="M602" s="2" t="s">
        <v>159</v>
      </c>
      <c r="N602" s="2" t="s">
        <v>86</v>
      </c>
      <c r="O602" s="2" t="s">
        <v>2883</v>
      </c>
      <c r="P602" s="1" t="s">
        <v>1327</v>
      </c>
      <c r="Q602" s="2" t="s">
        <v>2884</v>
      </c>
      <c r="R602" s="2">
        <v>55402</v>
      </c>
      <c r="S602" s="2">
        <v>44.976675999999998</v>
      </c>
      <c r="T602" s="2">
        <v>-93.272932999999995</v>
      </c>
      <c r="W602" s="10"/>
      <c r="AC602" s="2" t="s">
        <v>51</v>
      </c>
      <c r="AD602" s="2">
        <f t="shared" si="9"/>
        <v>2021</v>
      </c>
    </row>
    <row r="603" spans="1:30" hidden="1">
      <c r="A603" s="2" t="s">
        <v>2751</v>
      </c>
      <c r="B603" s="42">
        <v>44281</v>
      </c>
      <c r="C603" s="2" t="s">
        <v>2885</v>
      </c>
      <c r="D603" s="2" t="s">
        <v>174</v>
      </c>
      <c r="E603" s="2" t="s">
        <v>66</v>
      </c>
      <c r="F603" s="1" t="s">
        <v>34</v>
      </c>
      <c r="G603" s="2" t="s">
        <v>2886</v>
      </c>
      <c r="H603" s="2" t="s">
        <v>2887</v>
      </c>
      <c r="I603" s="11">
        <v>38400000</v>
      </c>
      <c r="J603" s="5">
        <v>136</v>
      </c>
      <c r="L603" s="5">
        <v>248000</v>
      </c>
      <c r="M603" s="2" t="s">
        <v>167</v>
      </c>
      <c r="N603" s="2" t="s">
        <v>48</v>
      </c>
      <c r="O603" s="2" t="s">
        <v>2888</v>
      </c>
      <c r="P603" s="2" t="s">
        <v>965</v>
      </c>
      <c r="R603" s="2">
        <v>55316</v>
      </c>
      <c r="S603" s="2">
        <v>45.092737999999997</v>
      </c>
      <c r="T603" s="2">
        <v>-93.282939999999996</v>
      </c>
      <c r="U603" s="2" t="s">
        <v>378</v>
      </c>
      <c r="V603" s="2" t="s">
        <v>2889</v>
      </c>
      <c r="W603" s="11">
        <v>1640000</v>
      </c>
      <c r="AC603" s="2" t="s">
        <v>51</v>
      </c>
      <c r="AD603" s="2">
        <f t="shared" si="9"/>
        <v>2021</v>
      </c>
    </row>
    <row r="604" spans="1:30" hidden="1">
      <c r="A604" s="2" t="s">
        <v>2751</v>
      </c>
      <c r="B604" s="42">
        <v>44284</v>
      </c>
      <c r="C604" s="2" t="s">
        <v>2890</v>
      </c>
      <c r="D604" s="2" t="s">
        <v>2113</v>
      </c>
      <c r="E604" s="2" t="s">
        <v>99</v>
      </c>
      <c r="F604" s="1" t="s">
        <v>34</v>
      </c>
      <c r="G604" s="2" t="s">
        <v>2891</v>
      </c>
      <c r="H604" s="2" t="s">
        <v>2235</v>
      </c>
      <c r="I604" s="11">
        <v>20000000</v>
      </c>
      <c r="N604" s="2" t="s">
        <v>77</v>
      </c>
      <c r="O604" s="2" t="s">
        <v>2892</v>
      </c>
      <c r="P604" s="2" t="s">
        <v>965</v>
      </c>
      <c r="Q604" s="149" t="s">
        <v>2893</v>
      </c>
      <c r="R604" s="2">
        <v>55107</v>
      </c>
      <c r="S604" s="2">
        <v>44.921492000000001</v>
      </c>
      <c r="T604" s="2">
        <v>-93.056105000000002</v>
      </c>
      <c r="W604" s="11"/>
      <c r="AC604" s="2" t="s">
        <v>51</v>
      </c>
      <c r="AD604" s="2">
        <f t="shared" si="9"/>
        <v>2021</v>
      </c>
    </row>
    <row r="605" spans="1:30" hidden="1">
      <c r="A605" s="2" t="s">
        <v>2751</v>
      </c>
      <c r="B605" s="148">
        <v>44285</v>
      </c>
      <c r="C605" s="145" t="s">
        <v>2894</v>
      </c>
      <c r="D605" s="145" t="s">
        <v>2321</v>
      </c>
      <c r="E605" s="2" t="s">
        <v>2322</v>
      </c>
      <c r="F605" s="1" t="s">
        <v>34</v>
      </c>
      <c r="G605" s="2" t="s">
        <v>2895</v>
      </c>
      <c r="H605" s="2" t="s">
        <v>131</v>
      </c>
      <c r="I605" s="11">
        <v>4000000</v>
      </c>
      <c r="J605" s="5">
        <v>65</v>
      </c>
      <c r="M605" s="2" t="s">
        <v>496</v>
      </c>
      <c r="N605" s="2" t="s">
        <v>48</v>
      </c>
      <c r="O605" s="7" t="s">
        <v>2896</v>
      </c>
      <c r="P605" s="2" t="s">
        <v>2897</v>
      </c>
      <c r="Q605" s="149" t="s">
        <v>2898</v>
      </c>
      <c r="R605" s="2">
        <v>56229</v>
      </c>
      <c r="S605" s="2">
        <v>44.606242000000002</v>
      </c>
      <c r="T605" s="2">
        <v>-95.668148000000002</v>
      </c>
      <c r="V605" s="150"/>
      <c r="W605" s="5"/>
      <c r="AC605" s="2" t="s">
        <v>120</v>
      </c>
      <c r="AD605" s="2">
        <f t="shared" si="9"/>
        <v>2021</v>
      </c>
    </row>
    <row r="606" spans="1:30" hidden="1">
      <c r="A606" s="2" t="s">
        <v>2899</v>
      </c>
      <c r="B606" s="42">
        <v>44292</v>
      </c>
      <c r="C606" s="2" t="s">
        <v>2900</v>
      </c>
      <c r="D606" s="2" t="s">
        <v>165</v>
      </c>
      <c r="E606" s="2" t="s">
        <v>66</v>
      </c>
      <c r="F606" s="1" t="s">
        <v>34</v>
      </c>
      <c r="G606" s="2" t="s">
        <v>2901</v>
      </c>
      <c r="H606" s="2" t="s">
        <v>131</v>
      </c>
      <c r="I606" s="11"/>
      <c r="L606" s="5">
        <v>52888</v>
      </c>
      <c r="M606" s="2" t="s">
        <v>167</v>
      </c>
      <c r="N606" s="2" t="s">
        <v>48</v>
      </c>
      <c r="O606" s="2" t="s">
        <v>2902</v>
      </c>
      <c r="Q606" s="2" t="s">
        <v>2903</v>
      </c>
      <c r="R606" s="2">
        <v>55369</v>
      </c>
      <c r="S606" s="2">
        <v>45.092319000000003</v>
      </c>
      <c r="T606" s="2">
        <v>-93.414502999999996</v>
      </c>
      <c r="AC606" s="2" t="s">
        <v>51</v>
      </c>
      <c r="AD606" s="2">
        <f t="shared" si="9"/>
        <v>2021</v>
      </c>
    </row>
    <row r="607" spans="1:30" hidden="1">
      <c r="A607" s="2" t="s">
        <v>2899</v>
      </c>
      <c r="B607" s="42">
        <v>44292</v>
      </c>
      <c r="C607" s="2" t="s">
        <v>2904</v>
      </c>
      <c r="D607" s="2" t="s">
        <v>528</v>
      </c>
      <c r="E607" s="1" t="s">
        <v>66</v>
      </c>
      <c r="F607" s="1" t="s">
        <v>34</v>
      </c>
      <c r="G607" s="2" t="s">
        <v>2905</v>
      </c>
      <c r="H607" s="2" t="s">
        <v>2785</v>
      </c>
      <c r="I607" s="11">
        <v>100000000</v>
      </c>
      <c r="J607" s="5">
        <v>700</v>
      </c>
      <c r="L607" s="5">
        <v>550000</v>
      </c>
      <c r="M607" s="2" t="s">
        <v>450</v>
      </c>
      <c r="N607" s="2" t="s">
        <v>48</v>
      </c>
      <c r="O607" s="2" t="s">
        <v>2896</v>
      </c>
      <c r="R607" s="2">
        <v>55425</v>
      </c>
      <c r="S607" s="2">
        <v>44.849719999999998</v>
      </c>
      <c r="T607" s="2">
        <v>-93.252832999999995</v>
      </c>
      <c r="U607" s="2" t="s">
        <v>378</v>
      </c>
      <c r="V607" s="2" t="s">
        <v>1576</v>
      </c>
      <c r="W607" s="2">
        <v>350000</v>
      </c>
      <c r="Y607" s="2" t="s">
        <v>2904</v>
      </c>
      <c r="AB607" s="2" t="s">
        <v>347</v>
      </c>
      <c r="AC607" s="2" t="s">
        <v>51</v>
      </c>
      <c r="AD607" s="2">
        <f t="shared" si="9"/>
        <v>2021</v>
      </c>
    </row>
    <row r="608" spans="1:30" hidden="1">
      <c r="A608" s="2" t="s">
        <v>2899</v>
      </c>
      <c r="B608" s="42">
        <v>44292</v>
      </c>
      <c r="C608" s="2" t="s">
        <v>2690</v>
      </c>
      <c r="D608" s="2" t="s">
        <v>448</v>
      </c>
      <c r="E608" s="1" t="s">
        <v>66</v>
      </c>
      <c r="F608" s="1" t="s">
        <v>34</v>
      </c>
      <c r="G608" s="2" t="s">
        <v>2906</v>
      </c>
      <c r="H608" s="2" t="s">
        <v>2772</v>
      </c>
      <c r="I608" s="11">
        <v>20000000</v>
      </c>
      <c r="L608" s="5">
        <v>65000</v>
      </c>
      <c r="M608" s="1" t="s">
        <v>47</v>
      </c>
      <c r="N608" s="2" t="s">
        <v>48</v>
      </c>
      <c r="O608" s="2" t="s">
        <v>2907</v>
      </c>
      <c r="Q608" s="2" t="s">
        <v>2908</v>
      </c>
      <c r="R608" s="2">
        <v>55344</v>
      </c>
      <c r="S608" s="2">
        <v>44.875621000000002</v>
      </c>
      <c r="T608" s="2">
        <v>-93.405733999999995</v>
      </c>
      <c r="Y608" s="2" t="s">
        <v>2690</v>
      </c>
      <c r="AB608" s="2" t="s">
        <v>423</v>
      </c>
      <c r="AC608" s="2" t="s">
        <v>51</v>
      </c>
      <c r="AD608" s="2">
        <f t="shared" si="9"/>
        <v>2021</v>
      </c>
    </row>
    <row r="609" spans="1:30" hidden="1">
      <c r="A609" s="2" t="s">
        <v>2899</v>
      </c>
      <c r="B609" s="42">
        <v>44298</v>
      </c>
      <c r="C609" s="2" t="s">
        <v>2909</v>
      </c>
      <c r="D609" s="2" t="s">
        <v>2556</v>
      </c>
      <c r="E609" s="166" t="s">
        <v>66</v>
      </c>
      <c r="F609" s="1" t="s">
        <v>34</v>
      </c>
      <c r="G609" s="2" t="s">
        <v>2910</v>
      </c>
      <c r="H609" s="2" t="s">
        <v>1359</v>
      </c>
      <c r="I609" s="11"/>
      <c r="J609" s="5">
        <v>100</v>
      </c>
      <c r="L609" s="5">
        <v>12000</v>
      </c>
      <c r="M609" s="2" t="s">
        <v>85</v>
      </c>
      <c r="N609" s="2" t="s">
        <v>86</v>
      </c>
      <c r="O609" s="2" t="s">
        <v>2911</v>
      </c>
      <c r="Q609" s="2" t="s">
        <v>2912</v>
      </c>
      <c r="R609" s="2">
        <v>55416</v>
      </c>
      <c r="S609" s="2">
        <v>44.964499000000004</v>
      </c>
      <c r="T609" s="2">
        <v>-93.345326</v>
      </c>
      <c r="AC609" s="2" t="s">
        <v>51</v>
      </c>
      <c r="AD609" s="2">
        <f t="shared" si="9"/>
        <v>2021</v>
      </c>
    </row>
    <row r="610" spans="1:30" hidden="1">
      <c r="A610" s="2" t="s">
        <v>2899</v>
      </c>
      <c r="B610" s="42">
        <v>44299</v>
      </c>
      <c r="C610" s="2" t="s">
        <v>2913</v>
      </c>
      <c r="D610" s="2" t="s">
        <v>591</v>
      </c>
      <c r="E610" s="1" t="s">
        <v>66</v>
      </c>
      <c r="F610" s="1" t="s">
        <v>34</v>
      </c>
      <c r="G610" s="2" t="s">
        <v>2914</v>
      </c>
      <c r="I610" s="11"/>
      <c r="M610" s="2" t="s">
        <v>2521</v>
      </c>
      <c r="N610" s="2" t="s">
        <v>140</v>
      </c>
      <c r="O610" s="2" t="s">
        <v>2915</v>
      </c>
      <c r="R610" s="2">
        <v>55305</v>
      </c>
      <c r="S610" s="2">
        <v>44.940461999999997</v>
      </c>
      <c r="T610" s="2">
        <v>-93.451854999999995</v>
      </c>
      <c r="AC610" s="2" t="s">
        <v>51</v>
      </c>
      <c r="AD610" s="2">
        <f t="shared" si="9"/>
        <v>2021</v>
      </c>
    </row>
    <row r="611" spans="1:30" hidden="1">
      <c r="A611" s="2" t="s">
        <v>2899</v>
      </c>
      <c r="B611" s="42">
        <v>44299</v>
      </c>
      <c r="C611" s="2" t="s">
        <v>2916</v>
      </c>
      <c r="D611" s="2" t="s">
        <v>65</v>
      </c>
      <c r="E611" s="1" t="s">
        <v>66</v>
      </c>
      <c r="F611" s="1" t="s">
        <v>34</v>
      </c>
      <c r="G611" s="2" t="s">
        <v>2917</v>
      </c>
      <c r="I611" s="11"/>
      <c r="M611" s="2" t="s">
        <v>531</v>
      </c>
      <c r="N611" s="2" t="s">
        <v>300</v>
      </c>
      <c r="O611" s="2" t="s">
        <v>2918</v>
      </c>
      <c r="R611" s="2">
        <v>55401</v>
      </c>
      <c r="S611" s="2">
        <v>44.984577000000002</v>
      </c>
      <c r="T611" s="2">
        <v>-93.269097000000002</v>
      </c>
      <c r="AC611" s="2" t="s">
        <v>51</v>
      </c>
      <c r="AD611" s="2">
        <f t="shared" si="9"/>
        <v>2021</v>
      </c>
    </row>
    <row r="612" spans="1:30" hidden="1">
      <c r="A612" s="2" t="s">
        <v>2899</v>
      </c>
      <c r="B612" s="42">
        <v>44299</v>
      </c>
      <c r="C612" s="2" t="s">
        <v>2404</v>
      </c>
      <c r="D612" s="2" t="s">
        <v>2919</v>
      </c>
      <c r="E612" s="1" t="s">
        <v>395</v>
      </c>
      <c r="F612" s="1" t="s">
        <v>34</v>
      </c>
      <c r="G612" s="2" t="s">
        <v>2920</v>
      </c>
      <c r="H612" s="2" t="s">
        <v>2921</v>
      </c>
      <c r="I612" s="11">
        <v>575000000</v>
      </c>
      <c r="N612" s="2" t="s">
        <v>1462</v>
      </c>
      <c r="O612" s="2" t="s">
        <v>2922</v>
      </c>
      <c r="R612" s="2">
        <v>55308</v>
      </c>
      <c r="S612" s="2">
        <v>45.451864</v>
      </c>
      <c r="T612" s="2">
        <v>-93.842186999999996</v>
      </c>
      <c r="AC612" s="2" t="s">
        <v>41</v>
      </c>
      <c r="AD612" s="2">
        <f t="shared" si="9"/>
        <v>2021</v>
      </c>
    </row>
    <row r="613" spans="1:30" hidden="1">
      <c r="A613" s="2" t="s">
        <v>2899</v>
      </c>
      <c r="B613" s="42">
        <v>44301</v>
      </c>
      <c r="C613" s="2" t="s">
        <v>2923</v>
      </c>
      <c r="D613" s="2" t="s">
        <v>65</v>
      </c>
      <c r="E613" s="1" t="s">
        <v>66</v>
      </c>
      <c r="F613" s="1" t="s">
        <v>34</v>
      </c>
      <c r="G613" s="2" t="s">
        <v>2924</v>
      </c>
      <c r="H613" s="2" t="s">
        <v>2079</v>
      </c>
      <c r="I613" s="11"/>
      <c r="M613" s="2" t="s">
        <v>531</v>
      </c>
      <c r="N613" s="2" t="s">
        <v>300</v>
      </c>
      <c r="O613" s="2" t="s">
        <v>2925</v>
      </c>
      <c r="R613" s="2">
        <v>55402</v>
      </c>
      <c r="S613" s="2">
        <v>44.975915000000001</v>
      </c>
      <c r="T613" s="2">
        <v>-93.271825000000007</v>
      </c>
      <c r="U613" s="2" t="s">
        <v>143</v>
      </c>
      <c r="AC613" s="2" t="s">
        <v>51</v>
      </c>
      <c r="AD613" s="2">
        <f t="shared" si="9"/>
        <v>2021</v>
      </c>
    </row>
    <row r="614" spans="1:30" hidden="1">
      <c r="A614" s="2" t="s">
        <v>2899</v>
      </c>
      <c r="B614" s="42">
        <v>44308</v>
      </c>
      <c r="C614" s="2" t="s">
        <v>2926</v>
      </c>
      <c r="D614" s="2" t="s">
        <v>65</v>
      </c>
      <c r="E614" s="1" t="s">
        <v>66</v>
      </c>
      <c r="F614" s="1" t="s">
        <v>34</v>
      </c>
      <c r="G614" s="2" t="s">
        <v>2927</v>
      </c>
      <c r="H614" s="2" t="s">
        <v>2079</v>
      </c>
      <c r="I614" s="11"/>
      <c r="J614" s="5">
        <v>20</v>
      </c>
      <c r="L614" s="5">
        <v>7000</v>
      </c>
      <c r="M614" s="2" t="s">
        <v>531</v>
      </c>
      <c r="N614" s="2" t="s">
        <v>300</v>
      </c>
      <c r="O614" s="2" t="s">
        <v>2928</v>
      </c>
      <c r="Q614" s="2" t="s">
        <v>2929</v>
      </c>
      <c r="R614" s="2">
        <v>55401</v>
      </c>
      <c r="S614" s="2">
        <v>44.986179</v>
      </c>
      <c r="T614" s="2">
        <v>-93.275574000000006</v>
      </c>
      <c r="AC614" s="2" t="s">
        <v>51</v>
      </c>
      <c r="AD614" s="2">
        <f t="shared" si="9"/>
        <v>2021</v>
      </c>
    </row>
    <row r="615" spans="1:30" hidden="1">
      <c r="A615" s="2" t="s">
        <v>2899</v>
      </c>
      <c r="B615" s="42">
        <v>44309</v>
      </c>
      <c r="C615" s="2" t="s">
        <v>2930</v>
      </c>
      <c r="D615" s="2" t="s">
        <v>340</v>
      </c>
      <c r="E615" s="1" t="s">
        <v>66</v>
      </c>
      <c r="F615" s="1" t="s">
        <v>34</v>
      </c>
      <c r="G615" s="2" t="s">
        <v>2931</v>
      </c>
      <c r="H615" s="2" t="s">
        <v>131</v>
      </c>
      <c r="I615" s="11"/>
      <c r="J615" s="5">
        <v>75</v>
      </c>
      <c r="M615" s="2" t="s">
        <v>132</v>
      </c>
      <c r="N615" s="2" t="s">
        <v>48</v>
      </c>
      <c r="O615" s="2" t="s">
        <v>2932</v>
      </c>
      <c r="Q615" s="2" t="s">
        <v>2933</v>
      </c>
      <c r="R615" s="2">
        <v>55447</v>
      </c>
      <c r="S615" s="2">
        <v>45.013520999999997</v>
      </c>
      <c r="T615" s="2">
        <v>-93.481572</v>
      </c>
      <c r="AC615" s="2" t="s">
        <v>51</v>
      </c>
      <c r="AD615" s="2">
        <f t="shared" si="9"/>
        <v>2021</v>
      </c>
    </row>
    <row r="616" spans="1:30" hidden="1">
      <c r="A616" s="2" t="s">
        <v>2899</v>
      </c>
      <c r="B616" s="42">
        <v>44309</v>
      </c>
      <c r="C616" s="2" t="s">
        <v>2934</v>
      </c>
      <c r="D616" s="2" t="s">
        <v>2556</v>
      </c>
      <c r="E616" s="166" t="s">
        <v>66</v>
      </c>
      <c r="F616" s="1" t="s">
        <v>34</v>
      </c>
      <c r="G616" s="2" t="s">
        <v>2935</v>
      </c>
      <c r="I616" s="11"/>
      <c r="M616" s="2" t="s">
        <v>2936</v>
      </c>
      <c r="N616" s="1" t="s">
        <v>37</v>
      </c>
      <c r="O616" s="2" t="s">
        <v>2937</v>
      </c>
      <c r="Q616" s="2" t="s">
        <v>2938</v>
      </c>
      <c r="R616" s="2">
        <v>55416</v>
      </c>
      <c r="S616" s="2">
        <v>44.959981999999997</v>
      </c>
      <c r="T616" s="2">
        <v>-93.349509999999995</v>
      </c>
      <c r="U616" s="2" t="s">
        <v>143</v>
      </c>
      <c r="AC616" s="2" t="s">
        <v>51</v>
      </c>
      <c r="AD616" s="2">
        <f t="shared" si="9"/>
        <v>2021</v>
      </c>
    </row>
    <row r="617" spans="1:30" hidden="1">
      <c r="A617" s="2" t="s">
        <v>2899</v>
      </c>
      <c r="B617" s="42">
        <v>44313</v>
      </c>
      <c r="C617" s="2" t="s">
        <v>2250</v>
      </c>
      <c r="D617" s="2" t="s">
        <v>467</v>
      </c>
      <c r="E617" s="1" t="s">
        <v>468</v>
      </c>
      <c r="F617" s="1" t="s">
        <v>34</v>
      </c>
      <c r="G617" s="2" t="s">
        <v>2939</v>
      </c>
      <c r="H617" s="2" t="s">
        <v>131</v>
      </c>
      <c r="I617" s="11">
        <v>5000000</v>
      </c>
      <c r="J617" s="5">
        <v>20</v>
      </c>
      <c r="L617" s="5">
        <v>50000</v>
      </c>
      <c r="M617" s="2" t="s">
        <v>93</v>
      </c>
      <c r="N617" s="2" t="s">
        <v>48</v>
      </c>
      <c r="O617" s="2" t="s">
        <v>2940</v>
      </c>
      <c r="P617" s="2" t="s">
        <v>2941</v>
      </c>
      <c r="Q617" s="2" t="s">
        <v>2942</v>
      </c>
      <c r="R617" s="2">
        <v>55021</v>
      </c>
      <c r="S617" s="2">
        <v>44.360785999999997</v>
      </c>
      <c r="T617" s="2">
        <v>-93.285677000000007</v>
      </c>
      <c r="U617" s="2" t="s">
        <v>378</v>
      </c>
      <c r="V617" s="2" t="s">
        <v>2943</v>
      </c>
      <c r="W617" s="2">
        <v>400000</v>
      </c>
      <c r="AC617" s="2" t="s">
        <v>120</v>
      </c>
      <c r="AD617" s="2">
        <f t="shared" si="9"/>
        <v>2021</v>
      </c>
    </row>
    <row r="618" spans="1:30" ht="16.5" hidden="1">
      <c r="A618" s="2" t="s">
        <v>2899</v>
      </c>
      <c r="B618" s="93">
        <v>44316</v>
      </c>
      <c r="C618" s="83" t="s">
        <v>1756</v>
      </c>
      <c r="D618" s="2" t="s">
        <v>65</v>
      </c>
      <c r="E618" s="2" t="s">
        <v>66</v>
      </c>
      <c r="F618" s="1" t="s">
        <v>34</v>
      </c>
      <c r="G618" s="46" t="s">
        <v>2944</v>
      </c>
      <c r="H618" s="2" t="s">
        <v>2945</v>
      </c>
      <c r="I618" s="11"/>
      <c r="L618" s="5">
        <v>15475</v>
      </c>
      <c r="M618" s="1" t="s">
        <v>47</v>
      </c>
      <c r="N618" s="2" t="s">
        <v>48</v>
      </c>
      <c r="O618" s="2" t="s">
        <v>2946</v>
      </c>
      <c r="P618" s="2" t="s">
        <v>965</v>
      </c>
      <c r="Q618" s="167" t="s">
        <v>2947</v>
      </c>
      <c r="R618" s="2">
        <v>55405</v>
      </c>
      <c r="S618" s="2">
        <v>44.979579999999999</v>
      </c>
      <c r="T618" s="2">
        <v>-93.290059999999997</v>
      </c>
      <c r="W618" s="11"/>
      <c r="AC618" s="2" t="s">
        <v>51</v>
      </c>
      <c r="AD618" s="2">
        <f t="shared" si="9"/>
        <v>2021</v>
      </c>
    </row>
    <row r="619" spans="1:30" hidden="1">
      <c r="A619" s="2" t="s">
        <v>2899</v>
      </c>
      <c r="B619" s="42">
        <v>44320</v>
      </c>
      <c r="C619" s="2" t="s">
        <v>2948</v>
      </c>
      <c r="D619" s="2" t="s">
        <v>2448</v>
      </c>
      <c r="E619" s="1" t="s">
        <v>395</v>
      </c>
      <c r="F619" s="1" t="s">
        <v>34</v>
      </c>
      <c r="G619" s="2" t="s">
        <v>2949</v>
      </c>
      <c r="I619" s="11"/>
      <c r="M619" s="2" t="s">
        <v>2950</v>
      </c>
      <c r="N619" s="2" t="s">
        <v>48</v>
      </c>
      <c r="O619" s="2" t="s">
        <v>2951</v>
      </c>
      <c r="P619" s="2" t="s">
        <v>965</v>
      </c>
      <c r="Q619" s="2" t="s">
        <v>2952</v>
      </c>
      <c r="R619" s="2">
        <v>55371</v>
      </c>
      <c r="S619" s="2">
        <v>45.550232000000001</v>
      </c>
      <c r="T619" s="2">
        <v>-93.589842000000004</v>
      </c>
      <c r="AC619" s="2" t="s">
        <v>41</v>
      </c>
      <c r="AD619" s="2">
        <f t="shared" si="9"/>
        <v>2021</v>
      </c>
    </row>
    <row r="620" spans="1:30" hidden="1">
      <c r="A620" s="2" t="s">
        <v>2899</v>
      </c>
      <c r="B620" s="42">
        <v>44320</v>
      </c>
      <c r="C620" s="2" t="s">
        <v>106</v>
      </c>
      <c r="D620" s="2" t="s">
        <v>776</v>
      </c>
      <c r="E620" s="1" t="s">
        <v>66</v>
      </c>
      <c r="F620" s="1" t="s">
        <v>34</v>
      </c>
      <c r="G620" s="2" t="s">
        <v>2953</v>
      </c>
      <c r="I620" s="11"/>
      <c r="J620" s="5">
        <v>50</v>
      </c>
      <c r="M620" s="2" t="s">
        <v>531</v>
      </c>
      <c r="N620" s="2" t="s">
        <v>300</v>
      </c>
      <c r="O620" s="2" t="s">
        <v>2954</v>
      </c>
      <c r="P620" s="2" t="s">
        <v>965</v>
      </c>
      <c r="Q620" s="2" t="s">
        <v>2955</v>
      </c>
      <c r="R620" s="2">
        <v>55435</v>
      </c>
      <c r="S620" s="2">
        <v>44.863335999999997</v>
      </c>
      <c r="T620" s="2">
        <v>-93.324583000000004</v>
      </c>
      <c r="U620" s="2" t="s">
        <v>143</v>
      </c>
      <c r="AC620" s="2" t="s">
        <v>51</v>
      </c>
      <c r="AD620" s="2">
        <f t="shared" si="9"/>
        <v>2021</v>
      </c>
    </row>
    <row r="621" spans="1:30" hidden="1">
      <c r="A621" s="2" t="s">
        <v>2899</v>
      </c>
      <c r="B621" s="42">
        <v>44321</v>
      </c>
      <c r="C621" s="2" t="s">
        <v>442</v>
      </c>
      <c r="D621" s="1" t="s">
        <v>415</v>
      </c>
      <c r="E621" s="1" t="s">
        <v>952</v>
      </c>
      <c r="F621" s="1" t="s">
        <v>34</v>
      </c>
      <c r="G621" s="2" t="s">
        <v>2956</v>
      </c>
      <c r="H621" s="2" t="s">
        <v>2214</v>
      </c>
      <c r="I621" s="11"/>
      <c r="N621" s="2" t="s">
        <v>253</v>
      </c>
      <c r="O621" s="2" t="s">
        <v>2957</v>
      </c>
      <c r="P621" s="2" t="s">
        <v>647</v>
      </c>
      <c r="Q621" s="2" t="s">
        <v>2958</v>
      </c>
      <c r="R621" s="2">
        <v>56301</v>
      </c>
      <c r="S621" s="2">
        <v>45.486227</v>
      </c>
      <c r="T621" s="2">
        <v>-94.137316999999996</v>
      </c>
      <c r="Y621" s="1" t="s">
        <v>442</v>
      </c>
      <c r="Z621" s="1" t="s">
        <v>875</v>
      </c>
      <c r="AA621" s="1" t="s">
        <v>328</v>
      </c>
      <c r="AC621" s="2" t="s">
        <v>41</v>
      </c>
      <c r="AD621" s="2">
        <f t="shared" si="9"/>
        <v>2021</v>
      </c>
    </row>
    <row r="622" spans="1:30" hidden="1">
      <c r="A622" s="2" t="s">
        <v>2899</v>
      </c>
      <c r="B622" s="42">
        <v>44322</v>
      </c>
      <c r="C622" s="2" t="s">
        <v>2959</v>
      </c>
      <c r="D622" s="2" t="s">
        <v>2113</v>
      </c>
      <c r="E622" s="1" t="s">
        <v>99</v>
      </c>
      <c r="F622" s="1" t="s">
        <v>34</v>
      </c>
      <c r="G622" s="2" t="s">
        <v>2960</v>
      </c>
      <c r="H622" s="2" t="s">
        <v>2214</v>
      </c>
      <c r="I622" s="11">
        <v>2000000</v>
      </c>
      <c r="L622" s="5">
        <v>27800</v>
      </c>
      <c r="N622" s="2" t="s">
        <v>313</v>
      </c>
      <c r="O622" s="2" t="s">
        <v>2961</v>
      </c>
      <c r="P622" s="2" t="s">
        <v>647</v>
      </c>
      <c r="Q622" s="2" t="s">
        <v>2962</v>
      </c>
      <c r="R622" s="2">
        <v>55114</v>
      </c>
      <c r="S622" s="2">
        <v>44.964961000000002</v>
      </c>
      <c r="T622" s="2">
        <v>-93.195715000000007</v>
      </c>
      <c r="AC622" s="2" t="s">
        <v>51</v>
      </c>
      <c r="AD622" s="2">
        <f t="shared" si="9"/>
        <v>2021</v>
      </c>
    </row>
    <row r="623" spans="1:30" hidden="1">
      <c r="A623" s="2" t="s">
        <v>2899</v>
      </c>
      <c r="B623" s="42">
        <v>44323</v>
      </c>
      <c r="C623" s="2" t="s">
        <v>2963</v>
      </c>
      <c r="D623" s="2" t="s">
        <v>340</v>
      </c>
      <c r="E623" s="1" t="s">
        <v>66</v>
      </c>
      <c r="F623" s="1" t="s">
        <v>34</v>
      </c>
      <c r="G623" s="2" t="s">
        <v>2964</v>
      </c>
      <c r="H623" s="2" t="s">
        <v>2834</v>
      </c>
      <c r="I623" s="11">
        <v>5135830</v>
      </c>
      <c r="J623" s="5">
        <v>67</v>
      </c>
      <c r="L623" s="5">
        <v>30000</v>
      </c>
      <c r="M623" s="2" t="s">
        <v>167</v>
      </c>
      <c r="N623" s="2" t="s">
        <v>48</v>
      </c>
      <c r="O623" s="2" t="s">
        <v>2965</v>
      </c>
      <c r="P623" s="2" t="s">
        <v>965</v>
      </c>
      <c r="Q623" s="2" t="s">
        <v>2966</v>
      </c>
      <c r="R623" s="2">
        <v>55447</v>
      </c>
      <c r="S623" s="2">
        <v>45.027253000000002</v>
      </c>
      <c r="T623" s="2">
        <v>-93.455427999999998</v>
      </c>
      <c r="U623" s="2" t="s">
        <v>378</v>
      </c>
      <c r="V623" s="2" t="s">
        <v>2394</v>
      </c>
      <c r="W623" s="2">
        <v>625000</v>
      </c>
      <c r="AC623" s="2" t="s">
        <v>51</v>
      </c>
      <c r="AD623" s="2">
        <f t="shared" si="9"/>
        <v>2021</v>
      </c>
    </row>
    <row r="624" spans="1:30" hidden="1">
      <c r="A624" s="2" t="s">
        <v>2899</v>
      </c>
      <c r="B624" s="42">
        <v>44326</v>
      </c>
      <c r="C624" s="2" t="s">
        <v>2967</v>
      </c>
      <c r="D624" s="2" t="s">
        <v>528</v>
      </c>
      <c r="E624" s="1" t="s">
        <v>66</v>
      </c>
      <c r="F624" s="1" t="s">
        <v>34</v>
      </c>
      <c r="G624" s="2" t="s">
        <v>2968</v>
      </c>
      <c r="H624" s="2" t="s">
        <v>2945</v>
      </c>
      <c r="I624" s="11">
        <v>10000000</v>
      </c>
      <c r="M624" s="2" t="s">
        <v>2799</v>
      </c>
      <c r="N624" s="2" t="s">
        <v>48</v>
      </c>
      <c r="O624" s="2" t="s">
        <v>2084</v>
      </c>
      <c r="P624" s="2" t="s">
        <v>2375</v>
      </c>
      <c r="Q624" s="2" t="s">
        <v>2969</v>
      </c>
      <c r="R624" s="2">
        <v>55438</v>
      </c>
      <c r="S624" s="2">
        <v>44.806108000000002</v>
      </c>
      <c r="T624" s="2">
        <v>-93.372519999999994</v>
      </c>
      <c r="AC624" s="2" t="s">
        <v>51</v>
      </c>
      <c r="AD624" s="2">
        <f t="shared" si="9"/>
        <v>2021</v>
      </c>
    </row>
    <row r="625" spans="1:30" hidden="1">
      <c r="A625" s="2" t="s">
        <v>2899</v>
      </c>
      <c r="B625" s="42">
        <v>44327</v>
      </c>
      <c r="C625" s="2" t="s">
        <v>2970</v>
      </c>
      <c r="D625" s="2" t="s">
        <v>65</v>
      </c>
      <c r="E625" s="1" t="s">
        <v>66</v>
      </c>
      <c r="F625" s="1" t="s">
        <v>34</v>
      </c>
      <c r="G625" s="2" t="s">
        <v>2971</v>
      </c>
      <c r="I625" s="11"/>
      <c r="M625" s="2" t="s">
        <v>85</v>
      </c>
      <c r="N625" s="2" t="s">
        <v>86</v>
      </c>
      <c r="O625" s="2" t="s">
        <v>2972</v>
      </c>
      <c r="P625" s="2" t="s">
        <v>285</v>
      </c>
      <c r="Q625" s="2" t="s">
        <v>2334</v>
      </c>
      <c r="R625" s="2">
        <v>55416</v>
      </c>
      <c r="S625" s="2">
        <v>44.977995999999997</v>
      </c>
      <c r="T625" s="2">
        <v>-93.263401999999999</v>
      </c>
      <c r="AC625" s="2" t="s">
        <v>51</v>
      </c>
      <c r="AD625" s="2">
        <f t="shared" si="9"/>
        <v>2021</v>
      </c>
    </row>
    <row r="626" spans="1:30" hidden="1">
      <c r="A626" s="2" t="s">
        <v>2899</v>
      </c>
      <c r="B626" s="42">
        <v>44327</v>
      </c>
      <c r="C626" s="2" t="s">
        <v>2973</v>
      </c>
      <c r="D626" s="2" t="s">
        <v>65</v>
      </c>
      <c r="E626" s="1" t="s">
        <v>66</v>
      </c>
      <c r="F626" s="1" t="s">
        <v>34</v>
      </c>
      <c r="G626" s="2" t="s">
        <v>2974</v>
      </c>
      <c r="H626" s="2" t="s">
        <v>2079</v>
      </c>
      <c r="I626" s="11"/>
      <c r="J626" s="5">
        <v>314</v>
      </c>
      <c r="L626" s="5">
        <v>19150</v>
      </c>
      <c r="M626" s="2" t="s">
        <v>2975</v>
      </c>
      <c r="N626" s="2" t="s">
        <v>86</v>
      </c>
      <c r="O626" s="2" t="s">
        <v>2976</v>
      </c>
      <c r="P626" s="2" t="s">
        <v>965</v>
      </c>
      <c r="Q626" s="2" t="s">
        <v>2977</v>
      </c>
      <c r="R626" s="2">
        <v>55401</v>
      </c>
      <c r="S626" s="2">
        <v>44.987941999999997</v>
      </c>
      <c r="T626" s="2">
        <v>-93.278040000000004</v>
      </c>
      <c r="AC626" s="2" t="s">
        <v>51</v>
      </c>
      <c r="AD626" s="2">
        <f t="shared" si="9"/>
        <v>2021</v>
      </c>
    </row>
    <row r="627" spans="1:30" hidden="1">
      <c r="A627" s="2" t="s">
        <v>2899</v>
      </c>
      <c r="B627" s="42">
        <v>44328</v>
      </c>
      <c r="C627" s="2" t="s">
        <v>2802</v>
      </c>
      <c r="D627" s="2" t="s">
        <v>65</v>
      </c>
      <c r="E627" s="1" t="s">
        <v>66</v>
      </c>
      <c r="F627" s="1" t="s">
        <v>34</v>
      </c>
      <c r="G627" s="2" t="s">
        <v>2978</v>
      </c>
      <c r="I627" s="11"/>
      <c r="M627" s="2" t="s">
        <v>85</v>
      </c>
      <c r="N627" s="2" t="s">
        <v>86</v>
      </c>
      <c r="O627" s="2" t="s">
        <v>2979</v>
      </c>
      <c r="P627" s="2" t="s">
        <v>285</v>
      </c>
      <c r="Q627" s="2" t="s">
        <v>2805</v>
      </c>
      <c r="R627" s="2">
        <v>55401</v>
      </c>
      <c r="S627" s="2">
        <v>44.989386000000003</v>
      </c>
      <c r="T627" s="2">
        <v>-93.278626000000003</v>
      </c>
      <c r="U627" s="2" t="s">
        <v>143</v>
      </c>
      <c r="AC627" s="2" t="s">
        <v>51</v>
      </c>
      <c r="AD627" s="2">
        <f t="shared" si="9"/>
        <v>2021</v>
      </c>
    </row>
    <row r="628" spans="1:30" hidden="1">
      <c r="A628" s="2" t="s">
        <v>2899</v>
      </c>
      <c r="B628" s="42">
        <v>44329</v>
      </c>
      <c r="C628" s="2" t="s">
        <v>138</v>
      </c>
      <c r="D628" s="2" t="s">
        <v>2113</v>
      </c>
      <c r="E628" s="1" t="s">
        <v>99</v>
      </c>
      <c r="F628" s="1" t="s">
        <v>34</v>
      </c>
      <c r="G628" s="2" t="s">
        <v>2980</v>
      </c>
      <c r="I628" s="11"/>
      <c r="J628" s="5">
        <v>8</v>
      </c>
      <c r="N628" s="2" t="s">
        <v>140</v>
      </c>
      <c r="O628" s="2" t="s">
        <v>2981</v>
      </c>
      <c r="P628" s="2" t="s">
        <v>1327</v>
      </c>
      <c r="Q628" s="2" t="s">
        <v>533</v>
      </c>
      <c r="R628" s="2">
        <v>55102</v>
      </c>
      <c r="S628" s="2">
        <v>44.946106</v>
      </c>
      <c r="T628" s="2">
        <v>-93.094076999999999</v>
      </c>
      <c r="U628" s="2" t="s">
        <v>143</v>
      </c>
      <c r="AC628" s="2" t="s">
        <v>51</v>
      </c>
      <c r="AD628" s="2">
        <f t="shared" si="9"/>
        <v>2021</v>
      </c>
    </row>
    <row r="629" spans="1:30" hidden="1">
      <c r="A629" s="2" t="s">
        <v>2899</v>
      </c>
      <c r="B629" s="42">
        <v>44333</v>
      </c>
      <c r="C629" s="1" t="s">
        <v>2982</v>
      </c>
      <c r="D629" s="2" t="s">
        <v>2983</v>
      </c>
      <c r="E629" s="2" t="s">
        <v>2106</v>
      </c>
      <c r="F629" s="1" t="s">
        <v>34</v>
      </c>
      <c r="G629" s="2" t="s">
        <v>2984</v>
      </c>
      <c r="H629" s="2" t="s">
        <v>131</v>
      </c>
      <c r="I629" s="10"/>
      <c r="J629" s="5">
        <v>45</v>
      </c>
      <c r="M629" s="2" t="s">
        <v>2677</v>
      </c>
      <c r="N629" s="2" t="s">
        <v>48</v>
      </c>
      <c r="O629" s="2" t="s">
        <v>2985</v>
      </c>
      <c r="P629" s="2" t="s">
        <v>2986</v>
      </c>
      <c r="Q629" s="2" t="s">
        <v>2987</v>
      </c>
      <c r="R629" s="2">
        <v>56537</v>
      </c>
      <c r="S629" s="2">
        <v>46.303581000000001</v>
      </c>
      <c r="T629" s="2">
        <v>-96.095241999999999</v>
      </c>
      <c r="W629" s="11"/>
      <c r="AC629" s="2" t="s">
        <v>41</v>
      </c>
      <c r="AD629" s="2">
        <f t="shared" si="9"/>
        <v>2021</v>
      </c>
    </row>
    <row r="630" spans="1:30" hidden="1">
      <c r="A630" s="2" t="s">
        <v>2899</v>
      </c>
      <c r="B630" s="42">
        <v>44337</v>
      </c>
      <c r="C630" s="2" t="s">
        <v>2988</v>
      </c>
      <c r="D630" s="2" t="s">
        <v>1143</v>
      </c>
      <c r="E630" s="1" t="s">
        <v>907</v>
      </c>
      <c r="F630" s="1" t="s">
        <v>34</v>
      </c>
      <c r="G630" s="2" t="s">
        <v>2989</v>
      </c>
      <c r="H630" s="2" t="s">
        <v>131</v>
      </c>
      <c r="I630" s="11">
        <v>30268600</v>
      </c>
      <c r="J630" s="5">
        <v>57</v>
      </c>
      <c r="L630" s="5">
        <v>87000</v>
      </c>
      <c r="M630" s="1" t="s">
        <v>47</v>
      </c>
      <c r="N630" s="2" t="s">
        <v>48</v>
      </c>
      <c r="O630" s="2" t="s">
        <v>2990</v>
      </c>
      <c r="P630" s="2" t="s">
        <v>2991</v>
      </c>
      <c r="Q630" s="2" t="s">
        <v>2992</v>
      </c>
      <c r="R630" s="2">
        <v>56345</v>
      </c>
      <c r="S630" s="2">
        <v>45.980055</v>
      </c>
      <c r="T630" s="2">
        <v>-94.245867000000004</v>
      </c>
      <c r="U630" s="2" t="s">
        <v>378</v>
      </c>
      <c r="V630" s="2" t="s">
        <v>2993</v>
      </c>
      <c r="W630" s="2">
        <v>785600</v>
      </c>
      <c r="AC630" s="2" t="s">
        <v>41</v>
      </c>
      <c r="AD630" s="2">
        <f t="shared" si="9"/>
        <v>2021</v>
      </c>
    </row>
    <row r="631" spans="1:30" hidden="1">
      <c r="A631" s="2" t="s">
        <v>2899</v>
      </c>
      <c r="B631" s="148">
        <v>44340</v>
      </c>
      <c r="C631" s="145" t="s">
        <v>2994</v>
      </c>
      <c r="D631" s="145" t="s">
        <v>203</v>
      </c>
      <c r="E631" s="2" t="s">
        <v>74</v>
      </c>
      <c r="F631" s="1" t="s">
        <v>34</v>
      </c>
      <c r="G631" s="2" t="s">
        <v>2995</v>
      </c>
      <c r="H631" s="2" t="s">
        <v>188</v>
      </c>
      <c r="I631" s="10">
        <v>1300000</v>
      </c>
      <c r="J631" s="29"/>
      <c r="M631" s="2" t="s">
        <v>665</v>
      </c>
      <c r="N631" s="2" t="s">
        <v>103</v>
      </c>
      <c r="O631" s="7" t="s">
        <v>2996</v>
      </c>
      <c r="Q631" s="149" t="s">
        <v>2997</v>
      </c>
      <c r="R631" s="2">
        <v>55121</v>
      </c>
      <c r="S631" s="2">
        <v>44.834105999999998</v>
      </c>
      <c r="T631" s="2">
        <v>-93.118352999999999</v>
      </c>
      <c r="V631" s="150"/>
      <c r="W631" s="29"/>
      <c r="AC631" s="2" t="s">
        <v>51</v>
      </c>
      <c r="AD631" s="2">
        <f t="shared" si="9"/>
        <v>2021</v>
      </c>
    </row>
    <row r="632" spans="1:30" hidden="1">
      <c r="A632" s="2" t="s">
        <v>2899</v>
      </c>
      <c r="B632" s="42">
        <v>44346</v>
      </c>
      <c r="C632" s="2" t="s">
        <v>1723</v>
      </c>
      <c r="D632" s="2" t="s">
        <v>65</v>
      </c>
      <c r="E632" s="1" t="s">
        <v>66</v>
      </c>
      <c r="F632" s="1" t="s">
        <v>34</v>
      </c>
      <c r="G632" s="2" t="s">
        <v>2998</v>
      </c>
      <c r="H632" s="2" t="s">
        <v>2079</v>
      </c>
      <c r="I632" s="11"/>
      <c r="J632" s="5">
        <v>60</v>
      </c>
      <c r="L632" s="5">
        <v>13000</v>
      </c>
      <c r="M632" s="2" t="s">
        <v>2999</v>
      </c>
      <c r="N632" s="2" t="s">
        <v>86</v>
      </c>
      <c r="O632" s="2" t="s">
        <v>3000</v>
      </c>
      <c r="P632" s="2" t="s">
        <v>285</v>
      </c>
      <c r="Q632" s="2" t="s">
        <v>3001</v>
      </c>
      <c r="R632" s="2">
        <v>55414</v>
      </c>
      <c r="S632" s="2">
        <v>44.988236999999998</v>
      </c>
      <c r="T632" s="2">
        <v>-93.256198999999995</v>
      </c>
      <c r="U632" s="2" t="s">
        <v>143</v>
      </c>
      <c r="AC632" s="2" t="s">
        <v>51</v>
      </c>
      <c r="AD632" s="2">
        <f t="shared" si="9"/>
        <v>2021</v>
      </c>
    </row>
    <row r="633" spans="1:30" hidden="1">
      <c r="A633" s="2" t="s">
        <v>2899</v>
      </c>
      <c r="B633" s="42">
        <v>44348</v>
      </c>
      <c r="C633" s="2" t="s">
        <v>3002</v>
      </c>
      <c r="D633" s="2" t="s">
        <v>65</v>
      </c>
      <c r="E633" s="1" t="s">
        <v>66</v>
      </c>
      <c r="F633" s="1" t="s">
        <v>34</v>
      </c>
      <c r="G633" s="2" t="s">
        <v>3003</v>
      </c>
      <c r="I633" s="11"/>
      <c r="J633" s="5">
        <v>28</v>
      </c>
      <c r="M633" s="2" t="s">
        <v>85</v>
      </c>
      <c r="N633" s="2" t="s">
        <v>86</v>
      </c>
      <c r="O633" s="2" t="s">
        <v>3004</v>
      </c>
      <c r="P633" s="2" t="s">
        <v>965</v>
      </c>
      <c r="Q633" s="2" t="s">
        <v>3005</v>
      </c>
      <c r="R633" s="2">
        <v>55426</v>
      </c>
      <c r="S633" s="2">
        <v>44.969523000000002</v>
      </c>
      <c r="T633" s="2">
        <v>-93.361908999999997</v>
      </c>
      <c r="U633" s="2" t="s">
        <v>143</v>
      </c>
      <c r="AC633" s="2" t="s">
        <v>51</v>
      </c>
      <c r="AD633" s="2">
        <f t="shared" si="9"/>
        <v>2021</v>
      </c>
    </row>
    <row r="634" spans="1:30" hidden="1">
      <c r="A634" s="2" t="s">
        <v>2899</v>
      </c>
      <c r="B634" s="42">
        <v>44354</v>
      </c>
      <c r="C634" s="2" t="s">
        <v>3006</v>
      </c>
      <c r="D634" s="2" t="s">
        <v>546</v>
      </c>
      <c r="E634" s="166" t="s">
        <v>74</v>
      </c>
      <c r="F634" s="1" t="s">
        <v>34</v>
      </c>
      <c r="G634" s="2" t="s">
        <v>3007</v>
      </c>
      <c r="H634" s="2" t="s">
        <v>2746</v>
      </c>
      <c r="I634" s="11"/>
      <c r="L634" s="5">
        <v>43300</v>
      </c>
      <c r="N634" s="2" t="s">
        <v>77</v>
      </c>
      <c r="O634" s="2" t="s">
        <v>3008</v>
      </c>
      <c r="P634" s="2" t="s">
        <v>3009</v>
      </c>
      <c r="Q634" s="2" t="s">
        <v>3010</v>
      </c>
      <c r="R634" s="2">
        <v>55044</v>
      </c>
      <c r="S634" s="2">
        <v>44.633420999999998</v>
      </c>
      <c r="T634" s="2">
        <v>-93.258120000000005</v>
      </c>
      <c r="AC634" s="2" t="s">
        <v>51</v>
      </c>
      <c r="AD634" s="2">
        <f t="shared" si="9"/>
        <v>2021</v>
      </c>
    </row>
    <row r="635" spans="1:30" hidden="1">
      <c r="A635" s="2" t="s">
        <v>2899</v>
      </c>
      <c r="B635" s="42">
        <v>44355</v>
      </c>
      <c r="C635" s="2" t="s">
        <v>3011</v>
      </c>
      <c r="D635" s="2" t="s">
        <v>2360</v>
      </c>
      <c r="E635" s="1" t="s">
        <v>99</v>
      </c>
      <c r="F635" s="1" t="s">
        <v>34</v>
      </c>
      <c r="G635" s="2" t="s">
        <v>3012</v>
      </c>
      <c r="H635" s="2" t="s">
        <v>1359</v>
      </c>
      <c r="I635" s="11"/>
      <c r="L635" s="5">
        <v>15000</v>
      </c>
      <c r="M635" s="2" t="s">
        <v>531</v>
      </c>
      <c r="N635" s="2" t="s">
        <v>300</v>
      </c>
      <c r="O635" s="2" t="s">
        <v>3013</v>
      </c>
      <c r="P635" s="2" t="s">
        <v>647</v>
      </c>
      <c r="Q635" s="2" t="s">
        <v>3014</v>
      </c>
      <c r="R635" s="2">
        <v>55126</v>
      </c>
      <c r="S635" s="2">
        <v>45.080342000000002</v>
      </c>
      <c r="T635" s="2">
        <v>-93.143441999999993</v>
      </c>
      <c r="AC635" s="2" t="s">
        <v>51</v>
      </c>
      <c r="AD635" s="2">
        <f t="shared" si="9"/>
        <v>2021</v>
      </c>
    </row>
    <row r="636" spans="1:30" ht="16.5" hidden="1">
      <c r="A636" s="2" t="s">
        <v>2899</v>
      </c>
      <c r="B636" s="42">
        <v>44362</v>
      </c>
      <c r="C636" s="1" t="s">
        <v>3015</v>
      </c>
      <c r="D636" s="1" t="s">
        <v>448</v>
      </c>
      <c r="E636" s="2" t="s">
        <v>66</v>
      </c>
      <c r="F636" s="1" t="s">
        <v>34</v>
      </c>
      <c r="G636" s="2" t="s">
        <v>3016</v>
      </c>
      <c r="H636" s="2" t="s">
        <v>131</v>
      </c>
      <c r="I636" s="11">
        <v>15944538.810000001</v>
      </c>
      <c r="J636" s="29">
        <v>20</v>
      </c>
      <c r="M636" s="2" t="s">
        <v>684</v>
      </c>
      <c r="N636" s="2" t="s">
        <v>48</v>
      </c>
      <c r="O636" s="7" t="s">
        <v>3017</v>
      </c>
      <c r="Q636" s="2" t="s">
        <v>3018</v>
      </c>
      <c r="R636" s="2">
        <v>55344</v>
      </c>
      <c r="S636" s="2">
        <v>44.850563000000001</v>
      </c>
      <c r="T636" s="2">
        <v>-93.440428999999995</v>
      </c>
      <c r="U636" s="2" t="s">
        <v>378</v>
      </c>
      <c r="V636" s="2" t="s">
        <v>1306</v>
      </c>
      <c r="W636" s="10">
        <v>175000</v>
      </c>
      <c r="Y636" s="168" t="s">
        <v>3019</v>
      </c>
      <c r="Z636" s="2" t="s">
        <v>3020</v>
      </c>
      <c r="AB636" s="2" t="s">
        <v>3021</v>
      </c>
      <c r="AC636" s="2" t="s">
        <v>51</v>
      </c>
      <c r="AD636" s="2">
        <f t="shared" si="9"/>
        <v>2021</v>
      </c>
    </row>
    <row r="637" spans="1:30" hidden="1">
      <c r="A637" s="2" t="s">
        <v>2899</v>
      </c>
      <c r="B637" s="42">
        <v>44368</v>
      </c>
      <c r="C637" s="2" t="s">
        <v>3022</v>
      </c>
      <c r="D637" s="2" t="s">
        <v>468</v>
      </c>
      <c r="E637" s="166" t="s">
        <v>1172</v>
      </c>
      <c r="F637" s="1" t="s">
        <v>34</v>
      </c>
      <c r="G637" s="2" t="s">
        <v>3023</v>
      </c>
      <c r="H637" s="2" t="s">
        <v>131</v>
      </c>
      <c r="I637" s="11">
        <v>12000000</v>
      </c>
      <c r="J637" s="5">
        <v>22</v>
      </c>
      <c r="M637" s="1" t="s">
        <v>47</v>
      </c>
      <c r="N637" s="2" t="s">
        <v>48</v>
      </c>
      <c r="O637" s="2" t="s">
        <v>3024</v>
      </c>
      <c r="P637" s="2" t="s">
        <v>1470</v>
      </c>
      <c r="Q637" s="2" t="s">
        <v>3025</v>
      </c>
      <c r="R637" s="2">
        <v>56367</v>
      </c>
      <c r="S637" s="2">
        <v>45.763693000000004</v>
      </c>
      <c r="T637" s="2">
        <v>-94.227548999999996</v>
      </c>
      <c r="U637" s="2" t="s">
        <v>378</v>
      </c>
      <c r="V637" s="2" t="s">
        <v>3026</v>
      </c>
      <c r="W637" s="2">
        <v>475000</v>
      </c>
      <c r="AC637" s="2" t="s">
        <v>41</v>
      </c>
      <c r="AD637" s="2">
        <f t="shared" si="9"/>
        <v>2021</v>
      </c>
    </row>
    <row r="638" spans="1:30" hidden="1">
      <c r="A638" s="2" t="s">
        <v>2899</v>
      </c>
      <c r="B638" s="42">
        <v>44369</v>
      </c>
      <c r="C638" s="2" t="s">
        <v>3027</v>
      </c>
      <c r="D638" s="2" t="s">
        <v>2113</v>
      </c>
      <c r="E638" s="1" t="s">
        <v>99</v>
      </c>
      <c r="F638" s="1" t="s">
        <v>34</v>
      </c>
      <c r="G638" s="2" t="s">
        <v>3028</v>
      </c>
      <c r="H638" s="2" t="s">
        <v>2130</v>
      </c>
      <c r="I638" s="11"/>
      <c r="L638" s="5">
        <v>7500</v>
      </c>
      <c r="M638" s="2" t="s">
        <v>93</v>
      </c>
      <c r="N638" s="2" t="s">
        <v>48</v>
      </c>
      <c r="O638" s="2" t="s">
        <v>3029</v>
      </c>
      <c r="P638" s="2" t="s">
        <v>285</v>
      </c>
      <c r="Q638" s="2" t="s">
        <v>3030</v>
      </c>
      <c r="R638" s="2">
        <v>55108</v>
      </c>
      <c r="S638" s="2">
        <v>44.972453999999999</v>
      </c>
      <c r="T638" s="2">
        <v>-93.161277999999996</v>
      </c>
      <c r="AC638" s="2" t="s">
        <v>51</v>
      </c>
      <c r="AD638" s="2">
        <f t="shared" si="9"/>
        <v>2021</v>
      </c>
    </row>
    <row r="639" spans="1:30" hidden="1">
      <c r="A639" s="2" t="s">
        <v>2899</v>
      </c>
      <c r="B639" s="93">
        <v>44370</v>
      </c>
      <c r="C639" s="2" t="s">
        <v>3031</v>
      </c>
      <c r="D639" s="2" t="s">
        <v>1608</v>
      </c>
      <c r="E639" s="2" t="s">
        <v>231</v>
      </c>
      <c r="F639" s="1" t="s">
        <v>34</v>
      </c>
      <c r="G639" s="46" t="s">
        <v>3032</v>
      </c>
      <c r="I639" s="10">
        <v>750000</v>
      </c>
      <c r="J639" s="5">
        <v>70</v>
      </c>
      <c r="L639" s="5">
        <v>10000</v>
      </c>
      <c r="M639" s="2" t="s">
        <v>93</v>
      </c>
      <c r="N639" s="2" t="s">
        <v>48</v>
      </c>
      <c r="O639" s="7" t="s">
        <v>3033</v>
      </c>
      <c r="P639" s="2" t="s">
        <v>3034</v>
      </c>
      <c r="Q639" s="2" t="s">
        <v>3035</v>
      </c>
      <c r="R639" s="2">
        <v>56649</v>
      </c>
      <c r="S639" s="2">
        <v>48.57414</v>
      </c>
      <c r="T639" s="2">
        <v>-93.40746</v>
      </c>
      <c r="U639" s="2" t="s">
        <v>378</v>
      </c>
      <c r="V639" s="47" t="s">
        <v>287</v>
      </c>
      <c r="W639" s="29">
        <v>122084</v>
      </c>
      <c r="AC639" s="2" t="s">
        <v>97</v>
      </c>
      <c r="AD639" s="2">
        <f t="shared" si="9"/>
        <v>2021</v>
      </c>
    </row>
    <row r="640" spans="1:30" hidden="1">
      <c r="A640" s="2" t="s">
        <v>2899</v>
      </c>
      <c r="B640" s="42">
        <v>44371</v>
      </c>
      <c r="C640" s="2" t="s">
        <v>3036</v>
      </c>
      <c r="D640" s="46" t="s">
        <v>448</v>
      </c>
      <c r="E640" s="2" t="s">
        <v>66</v>
      </c>
      <c r="F640" s="1" t="s">
        <v>34</v>
      </c>
      <c r="G640" s="2" t="s">
        <v>3037</v>
      </c>
      <c r="H640" s="2" t="s">
        <v>3038</v>
      </c>
      <c r="I640" s="11">
        <v>4000000</v>
      </c>
      <c r="L640" s="5">
        <v>42000</v>
      </c>
      <c r="M640" s="2" t="s">
        <v>167</v>
      </c>
      <c r="N640" s="2" t="s">
        <v>48</v>
      </c>
      <c r="O640" s="2" t="s">
        <v>3039</v>
      </c>
      <c r="P640" s="2" t="s">
        <v>3040</v>
      </c>
      <c r="Q640" s="2" t="s">
        <v>3041</v>
      </c>
      <c r="R640" s="2">
        <v>55344</v>
      </c>
      <c r="S640" s="2">
        <v>44.884805999999998</v>
      </c>
      <c r="T640" s="2">
        <v>-93.403298000000007</v>
      </c>
      <c r="AC640" s="2" t="s">
        <v>51</v>
      </c>
      <c r="AD640" s="2">
        <f t="shared" si="9"/>
        <v>2021</v>
      </c>
    </row>
    <row r="641" spans="1:30" hidden="1">
      <c r="A641" s="2" t="s">
        <v>2899</v>
      </c>
      <c r="B641" s="42">
        <v>44376</v>
      </c>
      <c r="C641" s="2" t="s">
        <v>3042</v>
      </c>
      <c r="D641" s="2" t="s">
        <v>2443</v>
      </c>
      <c r="E641" s="1" t="s">
        <v>74</v>
      </c>
      <c r="F641" s="1" t="s">
        <v>34</v>
      </c>
      <c r="G641" s="2" t="s">
        <v>3043</v>
      </c>
      <c r="H641" s="2" t="s">
        <v>131</v>
      </c>
      <c r="I641" s="11"/>
      <c r="J641" s="5">
        <v>35</v>
      </c>
      <c r="L641" s="5">
        <v>52000</v>
      </c>
      <c r="M641" s="2" t="s">
        <v>496</v>
      </c>
      <c r="N641" s="2" t="s">
        <v>48</v>
      </c>
      <c r="O641" s="2" t="s">
        <v>3044</v>
      </c>
      <c r="P641" s="2" t="s">
        <v>647</v>
      </c>
      <c r="Q641" s="2" t="s">
        <v>3045</v>
      </c>
      <c r="R641" s="2">
        <v>55033</v>
      </c>
      <c r="S641" s="2">
        <v>44.717965</v>
      </c>
      <c r="T641" s="2">
        <v>-92.835835000000003</v>
      </c>
      <c r="U641" s="2" t="s">
        <v>378</v>
      </c>
      <c r="V641" s="2" t="s">
        <v>3046</v>
      </c>
      <c r="AC641" s="2" t="s">
        <v>51</v>
      </c>
      <c r="AD641" s="2">
        <f t="shared" si="9"/>
        <v>2021</v>
      </c>
    </row>
    <row r="642" spans="1:30" hidden="1">
      <c r="A642" s="2" t="s">
        <v>2899</v>
      </c>
      <c r="B642" s="42">
        <v>44376</v>
      </c>
      <c r="C642" s="2" t="s">
        <v>3047</v>
      </c>
      <c r="D642" s="2" t="s">
        <v>2556</v>
      </c>
      <c r="E642" s="1" t="s">
        <v>66</v>
      </c>
      <c r="F642" s="1" t="s">
        <v>34</v>
      </c>
      <c r="G642" s="2" t="s">
        <v>3048</v>
      </c>
      <c r="H642" s="2" t="s">
        <v>1359</v>
      </c>
      <c r="I642" s="11"/>
      <c r="L642" s="5">
        <v>36000</v>
      </c>
      <c r="M642" s="2" t="s">
        <v>240</v>
      </c>
      <c r="N642" s="2" t="s">
        <v>241</v>
      </c>
      <c r="O642" s="2" t="s">
        <v>3049</v>
      </c>
      <c r="P642" s="2" t="s">
        <v>285</v>
      </c>
      <c r="Q642" s="2" t="s">
        <v>3050</v>
      </c>
      <c r="R642" s="2">
        <v>55416</v>
      </c>
      <c r="S642" s="2">
        <v>44.967460000000003</v>
      </c>
      <c r="T642" s="2">
        <v>-93.344623999999996</v>
      </c>
      <c r="AC642" s="2" t="s">
        <v>51</v>
      </c>
      <c r="AD642" s="2">
        <f t="shared" ref="AD642:AD705" si="10">YEAR(B642)</f>
        <v>2021</v>
      </c>
    </row>
    <row r="643" spans="1:30" hidden="1">
      <c r="A643" s="2" t="s">
        <v>2899</v>
      </c>
      <c r="B643" s="42">
        <v>44376</v>
      </c>
      <c r="C643" s="1" t="s">
        <v>1022</v>
      </c>
      <c r="D643" s="2" t="s">
        <v>174</v>
      </c>
      <c r="E643" s="2" t="s">
        <v>66</v>
      </c>
      <c r="F643" s="1" t="s">
        <v>34</v>
      </c>
      <c r="G643" s="2" t="s">
        <v>3051</v>
      </c>
      <c r="H643" s="2" t="s">
        <v>1024</v>
      </c>
      <c r="I643" s="10">
        <v>10775000</v>
      </c>
      <c r="J643" s="5">
        <v>92</v>
      </c>
      <c r="L643" s="5">
        <v>120000</v>
      </c>
      <c r="M643" s="2" t="s">
        <v>167</v>
      </c>
      <c r="N643" s="2" t="s">
        <v>48</v>
      </c>
      <c r="O643" s="2" t="s">
        <v>3052</v>
      </c>
      <c r="P643" s="2" t="s">
        <v>658</v>
      </c>
      <c r="Q643" s="2" t="s">
        <v>3053</v>
      </c>
      <c r="R643" s="2">
        <v>55428</v>
      </c>
      <c r="S643" s="2">
        <v>45.092770999999999</v>
      </c>
      <c r="T643" s="2">
        <v>-93.393868999999995</v>
      </c>
      <c r="U643" s="2" t="s">
        <v>378</v>
      </c>
      <c r="V643" s="2" t="s">
        <v>3054</v>
      </c>
      <c r="W643" s="10">
        <f>175000+400000</f>
        <v>575000</v>
      </c>
      <c r="AC643" s="2" t="s">
        <v>51</v>
      </c>
      <c r="AD643" s="2">
        <f t="shared" si="10"/>
        <v>2021</v>
      </c>
    </row>
    <row r="644" spans="1:30" hidden="1">
      <c r="A644" s="2" t="s">
        <v>2899</v>
      </c>
      <c r="B644" s="42">
        <v>44377</v>
      </c>
      <c r="C644" s="2" t="s">
        <v>3055</v>
      </c>
      <c r="D644" s="2" t="s">
        <v>2113</v>
      </c>
      <c r="E644" s="166" t="s">
        <v>99</v>
      </c>
      <c r="F644" s="1" t="s">
        <v>34</v>
      </c>
      <c r="G644" s="2" t="s">
        <v>3056</v>
      </c>
      <c r="I644" s="11"/>
      <c r="J644" s="5">
        <v>12</v>
      </c>
      <c r="M644" s="2" t="s">
        <v>85</v>
      </c>
      <c r="N644" s="2" t="s">
        <v>86</v>
      </c>
      <c r="O644" s="2" t="s">
        <v>3057</v>
      </c>
      <c r="P644" s="2" t="s">
        <v>285</v>
      </c>
      <c r="Q644" s="2" t="s">
        <v>3058</v>
      </c>
      <c r="R644" s="2">
        <v>55102</v>
      </c>
      <c r="S644" s="2">
        <v>44.946106</v>
      </c>
      <c r="T644" s="2">
        <v>-93.094076999999999</v>
      </c>
      <c r="U644" s="2" t="s">
        <v>143</v>
      </c>
      <c r="AC644" s="2" t="s">
        <v>51</v>
      </c>
      <c r="AD644" s="2">
        <f t="shared" si="10"/>
        <v>2021</v>
      </c>
    </row>
    <row r="645" spans="1:30" hidden="1">
      <c r="A645" s="2" t="s">
        <v>3059</v>
      </c>
      <c r="B645" s="148">
        <v>44378</v>
      </c>
      <c r="C645" s="145" t="s">
        <v>3060</v>
      </c>
      <c r="D645" s="145" t="s">
        <v>1007</v>
      </c>
      <c r="E645" s="2" t="s">
        <v>66</v>
      </c>
      <c r="F645" s="1" t="s">
        <v>34</v>
      </c>
      <c r="G645" s="2" t="s">
        <v>3061</v>
      </c>
      <c r="H645" s="2" t="s">
        <v>131</v>
      </c>
      <c r="I645" s="10">
        <v>3150000</v>
      </c>
      <c r="J645" s="29"/>
      <c r="L645" s="5">
        <v>45600</v>
      </c>
      <c r="M645" s="2" t="s">
        <v>2799</v>
      </c>
      <c r="N645" s="2" t="s">
        <v>48</v>
      </c>
      <c r="O645" s="7" t="s">
        <v>3062</v>
      </c>
      <c r="Q645" s="2" t="s">
        <v>3063</v>
      </c>
      <c r="R645" s="2">
        <v>55449</v>
      </c>
      <c r="S645" s="2">
        <v>45.158138999999998</v>
      </c>
      <c r="T645" s="2">
        <v>-93.183931000000001</v>
      </c>
      <c r="V645" s="150"/>
      <c r="W645" s="29"/>
      <c r="AC645" s="2" t="s">
        <v>51</v>
      </c>
      <c r="AD645" s="2">
        <f t="shared" si="10"/>
        <v>2021</v>
      </c>
    </row>
    <row r="646" spans="1:30" hidden="1">
      <c r="A646" s="2" t="s">
        <v>3059</v>
      </c>
      <c r="B646" s="148">
        <v>44379</v>
      </c>
      <c r="C646" s="145" t="s">
        <v>3064</v>
      </c>
      <c r="D646" s="145" t="s">
        <v>776</v>
      </c>
      <c r="E646" s="2" t="s">
        <v>66</v>
      </c>
      <c r="F646" s="1" t="s">
        <v>34</v>
      </c>
      <c r="G646" s="2" t="s">
        <v>3065</v>
      </c>
      <c r="I646" s="10"/>
      <c r="J646" s="29"/>
      <c r="M646" s="2" t="s">
        <v>531</v>
      </c>
      <c r="N646" s="2" t="s">
        <v>300</v>
      </c>
      <c r="O646" s="7" t="s">
        <v>3066</v>
      </c>
      <c r="Q646" s="2" t="s">
        <v>3067</v>
      </c>
      <c r="R646" s="2">
        <v>55435</v>
      </c>
      <c r="S646" s="2">
        <v>44.863930000000003</v>
      </c>
      <c r="T646" s="2">
        <v>-93.340879999999999</v>
      </c>
      <c r="V646" s="150"/>
      <c r="W646" s="29"/>
      <c r="AC646" s="2" t="s">
        <v>51</v>
      </c>
      <c r="AD646" s="2">
        <f t="shared" si="10"/>
        <v>2021</v>
      </c>
    </row>
    <row r="647" spans="1:30" hidden="1">
      <c r="A647" s="2" t="s">
        <v>3059</v>
      </c>
      <c r="B647" s="148">
        <v>44382</v>
      </c>
      <c r="C647" s="145" t="s">
        <v>3068</v>
      </c>
      <c r="D647" s="145" t="s">
        <v>1741</v>
      </c>
      <c r="E647" s="2" t="s">
        <v>1253</v>
      </c>
      <c r="F647" s="1" t="s">
        <v>34</v>
      </c>
      <c r="G647" s="2" t="s">
        <v>3069</v>
      </c>
      <c r="H647" s="2" t="s">
        <v>2159</v>
      </c>
      <c r="I647" s="10"/>
      <c r="J647" s="29"/>
      <c r="L647" s="5">
        <v>80000</v>
      </c>
      <c r="M647" s="2" t="s">
        <v>762</v>
      </c>
      <c r="N647" s="2" t="s">
        <v>762</v>
      </c>
      <c r="O647" s="7" t="s">
        <v>3070</v>
      </c>
      <c r="Q647" s="2" t="s">
        <v>3071</v>
      </c>
      <c r="R647" s="2">
        <v>55060</v>
      </c>
      <c r="S647" s="2">
        <v>44.081341999999999</v>
      </c>
      <c r="T647" s="2">
        <v>-93.266234999999995</v>
      </c>
      <c r="V647" s="150"/>
      <c r="W647" s="5"/>
      <c r="AC647" s="2" t="s">
        <v>120</v>
      </c>
      <c r="AD647" s="2">
        <f t="shared" si="10"/>
        <v>2021</v>
      </c>
    </row>
    <row r="648" spans="1:30" hidden="1">
      <c r="A648" s="2" t="s">
        <v>3059</v>
      </c>
      <c r="B648" s="42">
        <v>44385</v>
      </c>
      <c r="C648" s="1" t="s">
        <v>3072</v>
      </c>
      <c r="D648" s="2" t="s">
        <v>1100</v>
      </c>
      <c r="E648" s="1" t="s">
        <v>91</v>
      </c>
      <c r="F648" s="1" t="s">
        <v>34</v>
      </c>
      <c r="G648" s="2" t="s">
        <v>3073</v>
      </c>
      <c r="H648" s="2" t="s">
        <v>1024</v>
      </c>
      <c r="I648" s="10"/>
      <c r="J648" s="29"/>
      <c r="L648" s="5">
        <v>7200</v>
      </c>
      <c r="M648" s="2" t="s">
        <v>417</v>
      </c>
      <c r="N648" s="2" t="s">
        <v>48</v>
      </c>
      <c r="O648" s="7" t="s">
        <v>3074</v>
      </c>
      <c r="Q648" s="2" t="s">
        <v>3075</v>
      </c>
      <c r="R648" s="2">
        <v>55750</v>
      </c>
      <c r="S648" s="2">
        <v>47.522328000000002</v>
      </c>
      <c r="T648" s="2">
        <v>-92.173924999999997</v>
      </c>
      <c r="W648" s="11"/>
      <c r="AC648" s="2" t="s">
        <v>97</v>
      </c>
      <c r="AD648" s="2">
        <f t="shared" si="10"/>
        <v>2021</v>
      </c>
    </row>
    <row r="649" spans="1:30" ht="15.75" hidden="1">
      <c r="A649" s="2" t="s">
        <v>3059</v>
      </c>
      <c r="B649" s="148">
        <v>44389</v>
      </c>
      <c r="C649" s="145" t="s">
        <v>224</v>
      </c>
      <c r="D649" s="145" t="s">
        <v>219</v>
      </c>
      <c r="E649" s="2" t="s">
        <v>99</v>
      </c>
      <c r="F649" s="1" t="s">
        <v>34</v>
      </c>
      <c r="G649" s="2" t="s">
        <v>3076</v>
      </c>
      <c r="H649" s="2" t="s">
        <v>131</v>
      </c>
      <c r="I649" s="10"/>
      <c r="J649" s="29"/>
      <c r="L649" s="5">
        <v>35600</v>
      </c>
      <c r="M649" s="2" t="s">
        <v>3077</v>
      </c>
      <c r="N649" s="2" t="s">
        <v>48</v>
      </c>
      <c r="O649" s="7" t="s">
        <v>3078</v>
      </c>
      <c r="Q649" s="169" t="s">
        <v>3079</v>
      </c>
      <c r="R649" s="2">
        <v>55016</v>
      </c>
      <c r="S649" s="2">
        <v>44.819305</v>
      </c>
      <c r="T649" s="2">
        <v>-92.953259000000003</v>
      </c>
      <c r="V649" s="150"/>
      <c r="W649" s="5"/>
      <c r="AC649" s="2" t="s">
        <v>51</v>
      </c>
      <c r="AD649" s="2">
        <f t="shared" si="10"/>
        <v>2021</v>
      </c>
    </row>
    <row r="650" spans="1:30" hidden="1">
      <c r="A650" s="2" t="s">
        <v>3059</v>
      </c>
      <c r="B650" s="148">
        <v>44390</v>
      </c>
      <c r="C650" s="145" t="s">
        <v>280</v>
      </c>
      <c r="D650" s="145" t="s">
        <v>546</v>
      </c>
      <c r="E650" s="2" t="s">
        <v>74</v>
      </c>
      <c r="F650" s="1" t="s">
        <v>34</v>
      </c>
      <c r="G650" s="2" t="s">
        <v>3080</v>
      </c>
      <c r="H650" s="2" t="s">
        <v>2214</v>
      </c>
      <c r="I650" s="10">
        <v>5000000</v>
      </c>
      <c r="J650" s="29"/>
      <c r="L650" s="5">
        <v>57000</v>
      </c>
      <c r="M650" s="2" t="s">
        <v>2799</v>
      </c>
      <c r="N650" s="2" t="s">
        <v>48</v>
      </c>
      <c r="O650" s="2" t="s">
        <v>3081</v>
      </c>
      <c r="P650" s="2" t="s">
        <v>2597</v>
      </c>
      <c r="Q650" s="2" t="s">
        <v>3082</v>
      </c>
      <c r="R650" s="2">
        <v>55044</v>
      </c>
      <c r="S650" s="2">
        <v>44.632413</v>
      </c>
      <c r="T650" s="2">
        <v>-93.256889999999999</v>
      </c>
      <c r="V650" s="150"/>
      <c r="W650" s="5"/>
      <c r="X650" s="2" t="s">
        <v>2319</v>
      </c>
      <c r="Y650" s="2" t="s">
        <v>280</v>
      </c>
      <c r="AB650" s="2" t="s">
        <v>290</v>
      </c>
      <c r="AC650" s="2" t="s">
        <v>51</v>
      </c>
      <c r="AD650" s="2">
        <f t="shared" si="10"/>
        <v>2021</v>
      </c>
    </row>
    <row r="651" spans="1:30" hidden="1">
      <c r="A651" s="2" t="s">
        <v>3059</v>
      </c>
      <c r="B651" s="148">
        <v>44390</v>
      </c>
      <c r="C651" s="145" t="s">
        <v>280</v>
      </c>
      <c r="D651" s="145" t="s">
        <v>281</v>
      </c>
      <c r="E651" s="2" t="s">
        <v>282</v>
      </c>
      <c r="F651" s="1" t="s">
        <v>34</v>
      </c>
      <c r="G651" s="2" t="s">
        <v>3083</v>
      </c>
      <c r="H651" s="2" t="s">
        <v>131</v>
      </c>
      <c r="I651" s="10">
        <v>5000000</v>
      </c>
      <c r="J651" s="29"/>
      <c r="L651" s="5">
        <v>25000</v>
      </c>
      <c r="M651" s="2" t="s">
        <v>2799</v>
      </c>
      <c r="N651" s="2" t="s">
        <v>48</v>
      </c>
      <c r="O651" s="2" t="s">
        <v>3081</v>
      </c>
      <c r="P651" s="2" t="s">
        <v>2597</v>
      </c>
      <c r="Q651" s="2" t="s">
        <v>3084</v>
      </c>
      <c r="R651" s="2">
        <v>55350</v>
      </c>
      <c r="S651" s="44">
        <v>44.901072999999997</v>
      </c>
      <c r="T651" s="45">
        <v>-94.357286000000002</v>
      </c>
      <c r="V651" s="150"/>
      <c r="W651" s="29"/>
      <c r="X651" s="2" t="s">
        <v>2319</v>
      </c>
      <c r="Y651" s="2" t="s">
        <v>280</v>
      </c>
      <c r="AB651" s="2" t="s">
        <v>290</v>
      </c>
      <c r="AC651" s="2" t="s">
        <v>41</v>
      </c>
      <c r="AD651" s="2">
        <f t="shared" si="10"/>
        <v>2021</v>
      </c>
    </row>
    <row r="652" spans="1:30" hidden="1">
      <c r="A652" s="2" t="s">
        <v>3059</v>
      </c>
      <c r="B652" s="148">
        <v>44393</v>
      </c>
      <c r="C652" s="145" t="s">
        <v>3085</v>
      </c>
      <c r="D652" s="1" t="s">
        <v>415</v>
      </c>
      <c r="E652" s="2" t="s">
        <v>395</v>
      </c>
      <c r="F652" s="1" t="s">
        <v>34</v>
      </c>
      <c r="G652" s="2" t="s">
        <v>3086</v>
      </c>
      <c r="H652" s="2" t="s">
        <v>2809</v>
      </c>
      <c r="I652" s="10"/>
      <c r="J652" s="29"/>
      <c r="L652" s="5">
        <v>316000</v>
      </c>
      <c r="M652" s="2" t="s">
        <v>2754</v>
      </c>
      <c r="N652" s="2" t="s">
        <v>313</v>
      </c>
      <c r="O652" s="7" t="s">
        <v>3087</v>
      </c>
      <c r="Q652" s="2" t="s">
        <v>3088</v>
      </c>
      <c r="R652" s="2">
        <v>56301</v>
      </c>
      <c r="S652" s="2">
        <v>45.468361000000002</v>
      </c>
      <c r="T652" s="2">
        <v>-94.130050999999995</v>
      </c>
      <c r="U652" s="2" t="s">
        <v>378</v>
      </c>
      <c r="V652" s="150"/>
      <c r="W652" s="54"/>
      <c r="AC652" s="2" t="s">
        <v>41</v>
      </c>
      <c r="AD652" s="2">
        <f t="shared" si="10"/>
        <v>2021</v>
      </c>
    </row>
    <row r="653" spans="1:30" hidden="1">
      <c r="A653" s="2" t="s">
        <v>3059</v>
      </c>
      <c r="B653" s="42">
        <v>44393</v>
      </c>
      <c r="C653" s="1" t="s">
        <v>720</v>
      </c>
      <c r="D653" s="2" t="s">
        <v>528</v>
      </c>
      <c r="E653" s="2" t="s">
        <v>66</v>
      </c>
      <c r="F653" s="1" t="s">
        <v>34</v>
      </c>
      <c r="G653" s="2" t="s">
        <v>3089</v>
      </c>
      <c r="H653" s="2" t="s">
        <v>188</v>
      </c>
      <c r="I653" s="11">
        <v>1600000</v>
      </c>
      <c r="M653" s="2" t="s">
        <v>93</v>
      </c>
      <c r="N653" s="2" t="s">
        <v>48</v>
      </c>
      <c r="O653" s="2" t="s">
        <v>3090</v>
      </c>
      <c r="Q653" s="2" t="s">
        <v>3091</v>
      </c>
      <c r="R653" s="2">
        <v>55431</v>
      </c>
      <c r="S653" s="2">
        <v>44.835017999999998</v>
      </c>
      <c r="T653" s="2">
        <v>-93.298772</v>
      </c>
      <c r="W653" s="11"/>
      <c r="AC653" s="2" t="s">
        <v>51</v>
      </c>
      <c r="AD653" s="2">
        <f t="shared" si="10"/>
        <v>2021</v>
      </c>
    </row>
    <row r="654" spans="1:30" hidden="1">
      <c r="A654" s="2" t="s">
        <v>3059</v>
      </c>
      <c r="B654" s="148">
        <v>44397</v>
      </c>
      <c r="C654" s="145" t="s">
        <v>3092</v>
      </c>
      <c r="D654" s="145" t="s">
        <v>65</v>
      </c>
      <c r="E654" s="2" t="s">
        <v>66</v>
      </c>
      <c r="F654" s="1" t="s">
        <v>34</v>
      </c>
      <c r="G654" s="2" t="s">
        <v>3093</v>
      </c>
      <c r="I654" s="36"/>
      <c r="J654" s="29">
        <v>75</v>
      </c>
      <c r="M654" s="2" t="s">
        <v>2521</v>
      </c>
      <c r="N654" s="2" t="s">
        <v>140</v>
      </c>
      <c r="O654" s="7" t="s">
        <v>3094</v>
      </c>
      <c r="R654" s="2">
        <v>55402</v>
      </c>
      <c r="S654" s="2">
        <v>44.975915000000001</v>
      </c>
      <c r="T654" s="2">
        <v>-93.271825000000007</v>
      </c>
      <c r="V654" s="150"/>
      <c r="W654" s="29"/>
      <c r="AC654" s="2" t="s">
        <v>51</v>
      </c>
      <c r="AD654" s="2">
        <f t="shared" si="10"/>
        <v>2021</v>
      </c>
    </row>
    <row r="655" spans="1:30" hidden="1">
      <c r="A655" s="2" t="s">
        <v>3059</v>
      </c>
      <c r="B655" s="148">
        <v>44404</v>
      </c>
      <c r="C655" s="145" t="s">
        <v>3095</v>
      </c>
      <c r="D655" s="145" t="s">
        <v>3096</v>
      </c>
      <c r="E655" s="2" t="s">
        <v>66</v>
      </c>
      <c r="F655" s="1" t="s">
        <v>34</v>
      </c>
      <c r="G655" s="2" t="s">
        <v>3097</v>
      </c>
      <c r="I655" s="10"/>
      <c r="J655" s="29">
        <v>950</v>
      </c>
      <c r="N655" s="2" t="s">
        <v>77</v>
      </c>
      <c r="O655" s="7" t="s">
        <v>3098</v>
      </c>
      <c r="R655" s="2">
        <v>55402</v>
      </c>
      <c r="S655" s="2">
        <v>44.975915000000001</v>
      </c>
      <c r="T655" s="2">
        <v>-93.271825000000007</v>
      </c>
      <c r="V655" s="150"/>
      <c r="W655" s="29"/>
      <c r="AC655" s="2" t="s">
        <v>51</v>
      </c>
      <c r="AD655" s="2">
        <f t="shared" si="10"/>
        <v>2021</v>
      </c>
    </row>
    <row r="656" spans="1:30" ht="15.75" hidden="1">
      <c r="A656" s="2" t="s">
        <v>3059</v>
      </c>
      <c r="B656" s="42">
        <v>44404</v>
      </c>
      <c r="C656" s="1" t="s">
        <v>3099</v>
      </c>
      <c r="D656" s="2" t="s">
        <v>340</v>
      </c>
      <c r="E656" s="2" t="s">
        <v>66</v>
      </c>
      <c r="F656" s="1" t="s">
        <v>34</v>
      </c>
      <c r="G656" s="2" t="s">
        <v>3100</v>
      </c>
      <c r="H656" s="2" t="s">
        <v>2422</v>
      </c>
      <c r="I656" s="10"/>
      <c r="J656" s="29">
        <v>60</v>
      </c>
      <c r="L656" s="5">
        <v>90000</v>
      </c>
      <c r="N656" s="2" t="s">
        <v>253</v>
      </c>
      <c r="O656" s="7" t="s">
        <v>3101</v>
      </c>
      <c r="Q656" s="170" t="s">
        <v>3102</v>
      </c>
      <c r="R656" s="2">
        <v>55447</v>
      </c>
      <c r="S656" s="2">
        <v>45.013899000000002</v>
      </c>
      <c r="T656" s="2">
        <v>-93.470203999999995</v>
      </c>
      <c r="W656" s="11"/>
      <c r="AC656" s="2" t="s">
        <v>51</v>
      </c>
      <c r="AD656" s="2">
        <f t="shared" si="10"/>
        <v>2021</v>
      </c>
    </row>
    <row r="657" spans="1:30" ht="18" hidden="1">
      <c r="A657" s="2" t="s">
        <v>3059</v>
      </c>
      <c r="B657" s="148">
        <v>44405</v>
      </c>
      <c r="C657" s="2" t="s">
        <v>3103</v>
      </c>
      <c r="D657" s="145" t="s">
        <v>794</v>
      </c>
      <c r="E657" s="2" t="s">
        <v>66</v>
      </c>
      <c r="F657" s="1" t="s">
        <v>34</v>
      </c>
      <c r="G657" s="2" t="s">
        <v>3104</v>
      </c>
      <c r="I657" s="10"/>
      <c r="N657" s="2" t="s">
        <v>77</v>
      </c>
      <c r="O657" s="2" t="s">
        <v>3105</v>
      </c>
      <c r="Q657" s="144"/>
      <c r="R657" s="2">
        <v>55423</v>
      </c>
      <c r="S657" s="2">
        <v>44.883298000000003</v>
      </c>
      <c r="T657" s="2">
        <v>-93.283001999999996</v>
      </c>
      <c r="W657" s="11"/>
      <c r="AC657" s="2" t="s">
        <v>51</v>
      </c>
      <c r="AD657" s="2">
        <f t="shared" si="10"/>
        <v>2021</v>
      </c>
    </row>
    <row r="658" spans="1:30" hidden="1">
      <c r="A658" s="2" t="s">
        <v>3059</v>
      </c>
      <c r="B658" s="42">
        <v>44406</v>
      </c>
      <c r="C658" s="2" t="s">
        <v>3106</v>
      </c>
      <c r="D658" s="2" t="s">
        <v>65</v>
      </c>
      <c r="E658" s="2" t="s">
        <v>66</v>
      </c>
      <c r="F658" s="1" t="s">
        <v>34</v>
      </c>
      <c r="G658" s="2" t="s">
        <v>3107</v>
      </c>
      <c r="H658" s="2" t="s">
        <v>131</v>
      </c>
      <c r="I658" s="10"/>
      <c r="J658" s="29"/>
      <c r="L658" s="5">
        <v>70000</v>
      </c>
      <c r="M658" s="2" t="s">
        <v>154</v>
      </c>
      <c r="N658" s="2" t="s">
        <v>86</v>
      </c>
      <c r="O658" s="2" t="s">
        <v>3108</v>
      </c>
      <c r="P658" s="2" t="s">
        <v>285</v>
      </c>
      <c r="Q658" s="2" t="s">
        <v>3109</v>
      </c>
      <c r="R658" s="2">
        <v>55413</v>
      </c>
      <c r="S658" s="2">
        <v>44.997231999999997</v>
      </c>
      <c r="T658" s="2">
        <v>-93.225153000000006</v>
      </c>
      <c r="U658" s="2" t="s">
        <v>143</v>
      </c>
      <c r="W658" s="11"/>
      <c r="AC658" s="2" t="s">
        <v>51</v>
      </c>
      <c r="AD658" s="2">
        <f t="shared" si="10"/>
        <v>2021</v>
      </c>
    </row>
    <row r="659" spans="1:30" hidden="1">
      <c r="A659" s="2" t="s">
        <v>3059</v>
      </c>
      <c r="B659" s="42">
        <v>44407</v>
      </c>
      <c r="C659" s="1" t="s">
        <v>3110</v>
      </c>
      <c r="D659" s="2" t="s">
        <v>340</v>
      </c>
      <c r="E659" s="2" t="s">
        <v>66</v>
      </c>
      <c r="F659" s="1" t="s">
        <v>34</v>
      </c>
      <c r="G659" s="2" t="s">
        <v>3111</v>
      </c>
      <c r="H659" s="2" t="s">
        <v>2159</v>
      </c>
      <c r="I659" s="10">
        <v>1915388.5</v>
      </c>
      <c r="J659" s="29">
        <v>54</v>
      </c>
      <c r="L659" s="5">
        <v>13500</v>
      </c>
      <c r="N659" s="2" t="s">
        <v>86</v>
      </c>
      <c r="O659" s="2" t="s">
        <v>3112</v>
      </c>
      <c r="P659" s="2" t="s">
        <v>658</v>
      </c>
      <c r="Q659" s="2" t="s">
        <v>3113</v>
      </c>
      <c r="R659" s="2">
        <v>55447</v>
      </c>
      <c r="S659" s="2">
        <v>45.000858999999998</v>
      </c>
      <c r="T659" s="2">
        <v>-93.465691000000007</v>
      </c>
      <c r="U659" s="2" t="s">
        <v>378</v>
      </c>
      <c r="V659" s="2" t="s">
        <v>1306</v>
      </c>
      <c r="W659" s="10">
        <v>175000</v>
      </c>
      <c r="AC659" s="2" t="s">
        <v>51</v>
      </c>
      <c r="AD659" s="2">
        <f t="shared" si="10"/>
        <v>2021</v>
      </c>
    </row>
    <row r="660" spans="1:30" hidden="1">
      <c r="A660" s="2" t="s">
        <v>3059</v>
      </c>
      <c r="B660" s="148">
        <v>44407</v>
      </c>
      <c r="C660" s="145" t="s">
        <v>3114</v>
      </c>
      <c r="D660" s="145" t="s">
        <v>65</v>
      </c>
      <c r="E660" s="2" t="s">
        <v>66</v>
      </c>
      <c r="F660" s="1" t="s">
        <v>34</v>
      </c>
      <c r="G660" s="2" t="s">
        <v>3115</v>
      </c>
      <c r="I660" s="10"/>
      <c r="J660" s="29">
        <v>27</v>
      </c>
      <c r="M660" s="2" t="s">
        <v>531</v>
      </c>
      <c r="N660" s="2" t="s">
        <v>300</v>
      </c>
      <c r="O660" s="2" t="s">
        <v>3116</v>
      </c>
      <c r="Q660" s="2" t="s">
        <v>3117</v>
      </c>
      <c r="R660" s="2">
        <v>55402</v>
      </c>
      <c r="S660" s="2">
        <v>44.974808000000003</v>
      </c>
      <c r="T660" s="2">
        <v>-93.271446999999995</v>
      </c>
      <c r="W660" s="10"/>
      <c r="X660" s="2" t="s">
        <v>2319</v>
      </c>
      <c r="Y660" s="2" t="s">
        <v>3114</v>
      </c>
      <c r="Z660" s="2" t="s">
        <v>2776</v>
      </c>
      <c r="AB660" s="2" t="s">
        <v>347</v>
      </c>
      <c r="AC660" s="2" t="s">
        <v>51</v>
      </c>
      <c r="AD660" s="2">
        <f t="shared" si="10"/>
        <v>2021</v>
      </c>
    </row>
    <row r="661" spans="1:30" ht="18" hidden="1">
      <c r="A661" s="2" t="s">
        <v>3059</v>
      </c>
      <c r="B661" s="148">
        <v>44411</v>
      </c>
      <c r="C661" s="145" t="s">
        <v>3118</v>
      </c>
      <c r="D661" s="145" t="s">
        <v>448</v>
      </c>
      <c r="E661" s="2" t="s">
        <v>66</v>
      </c>
      <c r="F661" s="1" t="s">
        <v>34</v>
      </c>
      <c r="G661" s="2" t="s">
        <v>3119</v>
      </c>
      <c r="I661" s="10"/>
      <c r="J661" s="29">
        <v>500</v>
      </c>
      <c r="M661" s="2" t="s">
        <v>132</v>
      </c>
      <c r="N661" s="2" t="s">
        <v>48</v>
      </c>
      <c r="O661" s="2" t="s">
        <v>3120</v>
      </c>
      <c r="Q661" s="144" t="s">
        <v>3121</v>
      </c>
      <c r="R661" s="2">
        <v>55344</v>
      </c>
      <c r="S661" s="2">
        <v>44.870151999999997</v>
      </c>
      <c r="T661" s="2">
        <v>-93.401229999999998</v>
      </c>
      <c r="W661" s="10"/>
      <c r="AC661" s="2" t="s">
        <v>51</v>
      </c>
      <c r="AD661" s="2">
        <f t="shared" si="10"/>
        <v>2021</v>
      </c>
    </row>
    <row r="662" spans="1:30" hidden="1">
      <c r="A662" s="2" t="s">
        <v>3059</v>
      </c>
      <c r="B662" s="42">
        <v>44412</v>
      </c>
      <c r="C662" s="2" t="s">
        <v>3122</v>
      </c>
      <c r="D662" s="2" t="s">
        <v>528</v>
      </c>
      <c r="E662" s="2" t="s">
        <v>66</v>
      </c>
      <c r="F662" s="1" t="s">
        <v>34</v>
      </c>
      <c r="G662" s="2" t="s">
        <v>3123</v>
      </c>
      <c r="H662" s="2" t="s">
        <v>131</v>
      </c>
      <c r="I662" s="10">
        <v>56000000</v>
      </c>
      <c r="J662" s="29"/>
      <c r="M662" s="2" t="s">
        <v>450</v>
      </c>
      <c r="N662" s="2" t="s">
        <v>48</v>
      </c>
      <c r="O662" s="2" t="s">
        <v>3124</v>
      </c>
      <c r="P662" s="2" t="s">
        <v>285</v>
      </c>
      <c r="Q662" s="2" t="s">
        <v>932</v>
      </c>
      <c r="R662" s="2">
        <v>55425</v>
      </c>
      <c r="S662" s="2">
        <v>44.846888</v>
      </c>
      <c r="T662" s="2">
        <v>-93.236773999999997</v>
      </c>
      <c r="W662" s="10"/>
      <c r="AC662" s="2" t="s">
        <v>51</v>
      </c>
      <c r="AD662" s="2">
        <f t="shared" si="10"/>
        <v>2021</v>
      </c>
    </row>
    <row r="663" spans="1:30" ht="18" hidden="1">
      <c r="A663" s="2" t="s">
        <v>3059</v>
      </c>
      <c r="B663" s="148">
        <v>44412</v>
      </c>
      <c r="C663" s="145" t="s">
        <v>3125</v>
      </c>
      <c r="D663" s="145" t="s">
        <v>3126</v>
      </c>
      <c r="E663" s="2" t="s">
        <v>66</v>
      </c>
      <c r="F663" s="1" t="s">
        <v>34</v>
      </c>
      <c r="G663" s="2" t="s">
        <v>3127</v>
      </c>
      <c r="I663" s="10"/>
      <c r="M663" s="2" t="s">
        <v>159</v>
      </c>
      <c r="N663" s="2" t="s">
        <v>86</v>
      </c>
      <c r="O663" s="2" t="s">
        <v>3128</v>
      </c>
      <c r="Q663" s="144" t="s">
        <v>3129</v>
      </c>
      <c r="R663" s="2">
        <v>55331</v>
      </c>
      <c r="S663" s="2">
        <v>44.902538999999997</v>
      </c>
      <c r="T663" s="2">
        <v>-93.563389000000001</v>
      </c>
      <c r="W663" s="10"/>
      <c r="AC663" s="2" t="s">
        <v>51</v>
      </c>
      <c r="AD663" s="2">
        <f t="shared" si="10"/>
        <v>2021</v>
      </c>
    </row>
    <row r="664" spans="1:30" hidden="1">
      <c r="A664" s="2" t="s">
        <v>3059</v>
      </c>
      <c r="B664" s="42">
        <v>44414</v>
      </c>
      <c r="C664" s="1" t="s">
        <v>3130</v>
      </c>
      <c r="D664" s="2" t="s">
        <v>546</v>
      </c>
      <c r="E664" s="2" t="s">
        <v>74</v>
      </c>
      <c r="F664" s="1" t="s">
        <v>34</v>
      </c>
      <c r="G664" s="2" t="s">
        <v>3131</v>
      </c>
      <c r="H664" s="2" t="s">
        <v>1024</v>
      </c>
      <c r="I664" s="55">
        <v>953505</v>
      </c>
      <c r="J664" s="29">
        <v>16</v>
      </c>
      <c r="L664" s="5">
        <v>95000</v>
      </c>
      <c r="N664" s="2" t="s">
        <v>48</v>
      </c>
      <c r="O664" s="2" t="s">
        <v>3132</v>
      </c>
      <c r="P664" s="2" t="s">
        <v>3133</v>
      </c>
      <c r="Q664" s="2" t="s">
        <v>3134</v>
      </c>
      <c r="R664" s="2">
        <v>55306</v>
      </c>
      <c r="S664" s="2">
        <v>44.637177999999999</v>
      </c>
      <c r="T664" s="2">
        <v>-93.258302</v>
      </c>
      <c r="U664" s="2" t="s">
        <v>378</v>
      </c>
      <c r="V664" s="2" t="s">
        <v>1306</v>
      </c>
      <c r="W664" s="11">
        <v>160000</v>
      </c>
      <c r="AC664" s="2" t="s">
        <v>51</v>
      </c>
      <c r="AD664" s="2">
        <f t="shared" si="10"/>
        <v>2021</v>
      </c>
    </row>
    <row r="665" spans="1:30" hidden="1">
      <c r="A665" s="2" t="s">
        <v>3059</v>
      </c>
      <c r="B665" s="68">
        <v>44418</v>
      </c>
      <c r="C665" s="69" t="s">
        <v>3135</v>
      </c>
      <c r="D665" s="2" t="s">
        <v>3136</v>
      </c>
      <c r="E665" s="2" t="s">
        <v>952</v>
      </c>
      <c r="F665" s="1" t="s">
        <v>34</v>
      </c>
      <c r="G665" s="2" t="s">
        <v>3137</v>
      </c>
      <c r="I665" s="36"/>
      <c r="J665" s="35">
        <v>35</v>
      </c>
      <c r="M665" s="2" t="s">
        <v>417</v>
      </c>
      <c r="N665" s="2" t="s">
        <v>48</v>
      </c>
      <c r="O665" s="7" t="s">
        <v>3138</v>
      </c>
      <c r="Q665" s="2" t="s">
        <v>419</v>
      </c>
      <c r="R665" s="2">
        <v>56301</v>
      </c>
      <c r="S665" s="2">
        <v>45.468777000000003</v>
      </c>
      <c r="T665" s="2">
        <v>-94.122411999999997</v>
      </c>
      <c r="W665" s="11"/>
      <c r="AC665" s="2" t="s">
        <v>41</v>
      </c>
      <c r="AD665" s="2">
        <f t="shared" si="10"/>
        <v>2021</v>
      </c>
    </row>
    <row r="666" spans="1:30" hidden="1">
      <c r="A666" s="2" t="s">
        <v>3059</v>
      </c>
      <c r="B666" s="68">
        <v>44421</v>
      </c>
      <c r="C666" s="40" t="s">
        <v>2982</v>
      </c>
      <c r="D666" s="2" t="s">
        <v>2983</v>
      </c>
      <c r="E666" s="2" t="s">
        <v>2106</v>
      </c>
      <c r="F666" s="1" t="s">
        <v>34</v>
      </c>
      <c r="G666" s="2" t="s">
        <v>3139</v>
      </c>
      <c r="H666" s="2" t="s">
        <v>131</v>
      </c>
      <c r="I666" s="36">
        <v>14969125</v>
      </c>
      <c r="J666" s="35">
        <v>12</v>
      </c>
      <c r="M666" s="2" t="s">
        <v>2677</v>
      </c>
      <c r="N666" s="2" t="s">
        <v>48</v>
      </c>
      <c r="O666" s="2" t="s">
        <v>2985</v>
      </c>
      <c r="P666" s="2" t="s">
        <v>3140</v>
      </c>
      <c r="Q666" s="2" t="s">
        <v>2987</v>
      </c>
      <c r="R666" s="2">
        <v>56537</v>
      </c>
      <c r="S666" s="2">
        <v>46.303581000000001</v>
      </c>
      <c r="T666" s="2">
        <v>-96.095241999999999</v>
      </c>
      <c r="U666" s="2" t="s">
        <v>378</v>
      </c>
      <c r="V666" s="2" t="s">
        <v>1306</v>
      </c>
      <c r="W666" s="10">
        <v>175000</v>
      </c>
      <c r="AC666" s="2" t="s">
        <v>41</v>
      </c>
      <c r="AD666" s="2">
        <f t="shared" si="10"/>
        <v>2021</v>
      </c>
    </row>
    <row r="667" spans="1:30" hidden="1">
      <c r="A667" s="2" t="s">
        <v>3059</v>
      </c>
      <c r="B667" s="94">
        <v>44425</v>
      </c>
      <c r="C667" s="90" t="s">
        <v>3141</v>
      </c>
      <c r="D667" s="145" t="s">
        <v>111</v>
      </c>
      <c r="E667" s="2" t="s">
        <v>112</v>
      </c>
      <c r="F667" s="1" t="s">
        <v>34</v>
      </c>
      <c r="G667" s="2" t="s">
        <v>3142</v>
      </c>
      <c r="H667" s="2" t="s">
        <v>2108</v>
      </c>
      <c r="I667" s="55">
        <v>200000000</v>
      </c>
      <c r="J667" s="56">
        <v>117</v>
      </c>
      <c r="L667" s="5">
        <v>110000</v>
      </c>
      <c r="M667" s="2" t="s">
        <v>2109</v>
      </c>
      <c r="N667" s="1" t="s">
        <v>37</v>
      </c>
      <c r="O667" s="2" t="s">
        <v>3143</v>
      </c>
      <c r="Q667" s="2" t="s">
        <v>3144</v>
      </c>
      <c r="R667" s="2">
        <v>55901</v>
      </c>
      <c r="S667" s="2">
        <v>44.025478999999997</v>
      </c>
      <c r="T667" s="2">
        <v>-92.464489</v>
      </c>
      <c r="W667" s="10"/>
      <c r="AC667" s="2" t="s">
        <v>120</v>
      </c>
      <c r="AD667" s="2">
        <f t="shared" si="10"/>
        <v>2021</v>
      </c>
    </row>
    <row r="668" spans="1:30" hidden="1">
      <c r="A668" s="2" t="s">
        <v>3059</v>
      </c>
      <c r="B668" s="94">
        <v>44425</v>
      </c>
      <c r="C668" s="91" t="s">
        <v>3145</v>
      </c>
      <c r="D668" s="2" t="s">
        <v>3146</v>
      </c>
      <c r="E668" s="2" t="s">
        <v>2289</v>
      </c>
      <c r="F668" s="1" t="s">
        <v>34</v>
      </c>
      <c r="G668" s="2" t="s">
        <v>3147</v>
      </c>
      <c r="H668" s="2" t="s">
        <v>131</v>
      </c>
      <c r="I668" s="55">
        <v>2385000</v>
      </c>
      <c r="J668" s="56">
        <v>55</v>
      </c>
      <c r="M668" s="1" t="s">
        <v>47</v>
      </c>
      <c r="N668" s="2" t="s">
        <v>48</v>
      </c>
      <c r="O668" s="7" t="s">
        <v>3148</v>
      </c>
      <c r="P668" s="2" t="s">
        <v>3149</v>
      </c>
      <c r="Q668" s="2" t="s">
        <v>3150</v>
      </c>
      <c r="R668" s="2">
        <v>56222</v>
      </c>
      <c r="S668" s="2">
        <v>44.956738999999999</v>
      </c>
      <c r="T668" s="2">
        <v>-95.363369000000006</v>
      </c>
      <c r="U668" s="2" t="s">
        <v>378</v>
      </c>
      <c r="V668" s="2" t="s">
        <v>2394</v>
      </c>
      <c r="W668" s="10">
        <v>625000</v>
      </c>
      <c r="AC668" s="2" t="s">
        <v>41</v>
      </c>
      <c r="AD668" s="2">
        <f t="shared" si="10"/>
        <v>2021</v>
      </c>
    </row>
    <row r="669" spans="1:30" hidden="1">
      <c r="A669" s="2" t="s">
        <v>3059</v>
      </c>
      <c r="B669" s="210">
        <v>44426</v>
      </c>
      <c r="C669" s="216" t="s">
        <v>3092</v>
      </c>
      <c r="D669" s="145" t="s">
        <v>65</v>
      </c>
      <c r="E669" s="2" t="s">
        <v>66</v>
      </c>
      <c r="F669" s="1" t="s">
        <v>34</v>
      </c>
      <c r="G669" s="2" t="s">
        <v>3151</v>
      </c>
      <c r="I669" s="10"/>
      <c r="J669" s="29">
        <v>25</v>
      </c>
      <c r="M669" s="2" t="s">
        <v>2521</v>
      </c>
      <c r="N669" s="2" t="s">
        <v>140</v>
      </c>
      <c r="O669" s="2" t="s">
        <v>3152</v>
      </c>
      <c r="R669" s="2">
        <v>55402</v>
      </c>
      <c r="S669" s="2">
        <v>44.975915000000001</v>
      </c>
      <c r="T669" s="2">
        <v>-93.271825000000007</v>
      </c>
      <c r="W669" s="10"/>
      <c r="AC669" s="2" t="s">
        <v>51</v>
      </c>
      <c r="AD669" s="2">
        <f t="shared" si="10"/>
        <v>2021</v>
      </c>
    </row>
    <row r="670" spans="1:30" hidden="1">
      <c r="A670" s="2" t="s">
        <v>3059</v>
      </c>
      <c r="B670" s="94">
        <v>44427</v>
      </c>
      <c r="C670" s="90" t="s">
        <v>2330</v>
      </c>
      <c r="D670" s="2" t="s">
        <v>65</v>
      </c>
      <c r="E670" s="2" t="s">
        <v>66</v>
      </c>
      <c r="F670" s="1" t="s">
        <v>34</v>
      </c>
      <c r="G670" s="2" t="s">
        <v>3153</v>
      </c>
      <c r="I670" s="55"/>
      <c r="J670" s="56">
        <v>50</v>
      </c>
      <c r="M670" s="2" t="s">
        <v>3154</v>
      </c>
      <c r="N670" s="2" t="s">
        <v>86</v>
      </c>
      <c r="O670" s="2" t="s">
        <v>3155</v>
      </c>
      <c r="Q670" s="2" t="s">
        <v>2334</v>
      </c>
      <c r="R670" s="2">
        <v>55415</v>
      </c>
      <c r="S670" s="2">
        <v>44.977995999999997</v>
      </c>
      <c r="T670" s="2">
        <v>-93.263401999999999</v>
      </c>
      <c r="U670" s="2" t="s">
        <v>143</v>
      </c>
      <c r="W670" s="10"/>
      <c r="AC670" s="2" t="s">
        <v>51</v>
      </c>
      <c r="AD670" s="2">
        <f t="shared" si="10"/>
        <v>2021</v>
      </c>
    </row>
    <row r="671" spans="1:30" hidden="1">
      <c r="A671" s="2" t="s">
        <v>3059</v>
      </c>
      <c r="B671" s="210">
        <v>44427</v>
      </c>
      <c r="C671" s="216" t="s">
        <v>3156</v>
      </c>
      <c r="D671" s="2" t="s">
        <v>65</v>
      </c>
      <c r="E671" s="2" t="s">
        <v>66</v>
      </c>
      <c r="F671" s="1" t="s">
        <v>34</v>
      </c>
      <c r="G671" s="2" t="s">
        <v>3157</v>
      </c>
      <c r="H671" s="2" t="s">
        <v>2079</v>
      </c>
      <c r="I671" s="10"/>
      <c r="J671" s="29">
        <v>10</v>
      </c>
      <c r="M671" s="2" t="s">
        <v>93</v>
      </c>
      <c r="N671" s="2" t="s">
        <v>48</v>
      </c>
      <c r="O671" s="2" t="s">
        <v>3158</v>
      </c>
      <c r="R671" s="2">
        <v>55402</v>
      </c>
      <c r="S671" s="2">
        <v>44.975915000000001</v>
      </c>
      <c r="T671" s="2">
        <v>-93.271825000000007</v>
      </c>
      <c r="W671" s="10"/>
      <c r="AC671" s="2" t="s">
        <v>51</v>
      </c>
      <c r="AD671" s="2">
        <f t="shared" si="10"/>
        <v>2021</v>
      </c>
    </row>
    <row r="672" spans="1:30" hidden="1">
      <c r="A672" s="2" t="s">
        <v>3059</v>
      </c>
      <c r="B672" s="42">
        <v>44432</v>
      </c>
      <c r="C672" s="145" t="s">
        <v>3159</v>
      </c>
      <c r="D672" s="145" t="s">
        <v>3160</v>
      </c>
      <c r="E672" s="2" t="s">
        <v>1013</v>
      </c>
      <c r="F672" s="1" t="s">
        <v>34</v>
      </c>
      <c r="G672" s="2" t="s">
        <v>3161</v>
      </c>
      <c r="H672" s="2" t="s">
        <v>131</v>
      </c>
      <c r="I672" s="10">
        <v>2600000</v>
      </c>
      <c r="J672" s="29"/>
      <c r="M672" s="1" t="s">
        <v>47</v>
      </c>
      <c r="N672" s="2" t="s">
        <v>48</v>
      </c>
      <c r="O672" s="2" t="s">
        <v>3162</v>
      </c>
      <c r="Q672" s="2" t="s">
        <v>3163</v>
      </c>
      <c r="R672" s="2">
        <v>56085</v>
      </c>
      <c r="S672" s="2">
        <v>44.295847000000002</v>
      </c>
      <c r="T672" s="2">
        <v>-94.737669999999994</v>
      </c>
      <c r="W672" s="10"/>
      <c r="AC672" s="2" t="s">
        <v>120</v>
      </c>
      <c r="AD672" s="2">
        <f t="shared" si="10"/>
        <v>2021</v>
      </c>
    </row>
    <row r="673" spans="1:30" ht="15.75" hidden="1">
      <c r="A673" s="2" t="s">
        <v>3059</v>
      </c>
      <c r="B673" s="3">
        <v>44435.361585648148</v>
      </c>
      <c r="C673" s="46" t="s">
        <v>3164</v>
      </c>
      <c r="D673" s="2" t="s">
        <v>174</v>
      </c>
      <c r="E673" s="2" t="s">
        <v>66</v>
      </c>
      <c r="F673" s="1" t="s">
        <v>34</v>
      </c>
      <c r="G673" s="2" t="s">
        <v>3165</v>
      </c>
      <c r="H673" s="2" t="s">
        <v>2834</v>
      </c>
      <c r="I673" s="9">
        <v>695000</v>
      </c>
      <c r="J673" s="29">
        <v>47</v>
      </c>
      <c r="M673" s="2" t="s">
        <v>93</v>
      </c>
      <c r="N673" s="2" t="s">
        <v>48</v>
      </c>
      <c r="O673" s="2" t="s">
        <v>3166</v>
      </c>
      <c r="P673" s="2" t="s">
        <v>658</v>
      </c>
      <c r="Q673" s="153" t="s">
        <v>3167</v>
      </c>
      <c r="R673" s="2">
        <v>55428</v>
      </c>
      <c r="S673" s="2">
        <v>45.085796000000002</v>
      </c>
      <c r="T673" s="2">
        <v>-93.388668999999993</v>
      </c>
      <c r="U673" s="2" t="s">
        <v>378</v>
      </c>
      <c r="V673" s="2" t="s">
        <v>1576</v>
      </c>
      <c r="W673" s="11">
        <v>125000</v>
      </c>
      <c r="X673" s="2" t="s">
        <v>2319</v>
      </c>
      <c r="Y673" s="171" t="s">
        <v>3168</v>
      </c>
      <c r="AB673" s="2" t="s">
        <v>347</v>
      </c>
      <c r="AC673" s="2" t="s">
        <v>51</v>
      </c>
      <c r="AD673" s="2">
        <f t="shared" si="10"/>
        <v>2021</v>
      </c>
    </row>
    <row r="674" spans="1:30" hidden="1">
      <c r="A674" s="2" t="s">
        <v>3059</v>
      </c>
      <c r="B674" s="42">
        <v>44437</v>
      </c>
      <c r="C674" s="2" t="s">
        <v>3169</v>
      </c>
      <c r="D674" s="2" t="s">
        <v>3170</v>
      </c>
      <c r="E674" s="2" t="s">
        <v>677</v>
      </c>
      <c r="F674" s="1" t="s">
        <v>34</v>
      </c>
      <c r="G674" s="2" t="s">
        <v>3171</v>
      </c>
      <c r="H674" s="2" t="s">
        <v>131</v>
      </c>
      <c r="I674" s="10">
        <v>3000000</v>
      </c>
      <c r="J674" s="29"/>
      <c r="L674" s="5">
        <v>40000</v>
      </c>
      <c r="M674" s="2" t="s">
        <v>93</v>
      </c>
      <c r="N674" s="2" t="s">
        <v>48</v>
      </c>
      <c r="O674" s="7" t="s">
        <v>3172</v>
      </c>
      <c r="Q674" s="2" t="s">
        <v>3173</v>
      </c>
      <c r="R674" s="2">
        <v>55005</v>
      </c>
      <c r="S674" s="2">
        <v>45.396731000000003</v>
      </c>
      <c r="T674" s="2">
        <v>-93.237375999999998</v>
      </c>
      <c r="U674" s="2" t="s">
        <v>378</v>
      </c>
      <c r="V674" s="2" t="s">
        <v>379</v>
      </c>
      <c r="W674" s="10"/>
      <c r="AC674" s="2" t="s">
        <v>51</v>
      </c>
      <c r="AD674" s="2">
        <f t="shared" si="10"/>
        <v>2021</v>
      </c>
    </row>
    <row r="675" spans="1:30" hidden="1">
      <c r="A675" s="2" t="s">
        <v>3059</v>
      </c>
      <c r="B675" s="42">
        <v>44440</v>
      </c>
      <c r="C675" s="2" t="s">
        <v>3174</v>
      </c>
      <c r="D675" s="2" t="s">
        <v>2633</v>
      </c>
      <c r="E675" s="2" t="s">
        <v>2633</v>
      </c>
      <c r="F675" s="1" t="s">
        <v>34</v>
      </c>
      <c r="G675" s="2" t="s">
        <v>3175</v>
      </c>
      <c r="H675" s="2" t="s">
        <v>131</v>
      </c>
      <c r="I675" s="10">
        <v>250000000</v>
      </c>
      <c r="J675" s="29" t="s">
        <v>3176</v>
      </c>
      <c r="L675" s="5">
        <v>250000</v>
      </c>
      <c r="M675" s="1" t="s">
        <v>47</v>
      </c>
      <c r="N675" s="2" t="s">
        <v>48</v>
      </c>
      <c r="O675" s="2" t="s">
        <v>3177</v>
      </c>
      <c r="P675" s="2" t="s">
        <v>285</v>
      </c>
      <c r="Q675" s="2" t="s">
        <v>3178</v>
      </c>
      <c r="R675" s="2">
        <v>56093</v>
      </c>
      <c r="S675" s="2">
        <v>44.075941</v>
      </c>
      <c r="T675" s="2">
        <v>-93.513893999999993</v>
      </c>
      <c r="W675" s="10"/>
      <c r="AC675" s="2" t="s">
        <v>120</v>
      </c>
      <c r="AD675" s="2">
        <f t="shared" si="10"/>
        <v>2021</v>
      </c>
    </row>
    <row r="676" spans="1:30" hidden="1">
      <c r="A676" s="2" t="s">
        <v>3059</v>
      </c>
      <c r="B676" s="42">
        <v>44442</v>
      </c>
      <c r="C676" s="1" t="s">
        <v>3179</v>
      </c>
      <c r="D676" s="2" t="s">
        <v>3180</v>
      </c>
      <c r="E676" s="2" t="s">
        <v>54</v>
      </c>
      <c r="F676" s="1" t="s">
        <v>34</v>
      </c>
      <c r="G676" s="2" t="s">
        <v>3181</v>
      </c>
      <c r="H676" s="2" t="s">
        <v>131</v>
      </c>
      <c r="I676" s="10">
        <v>11177470</v>
      </c>
      <c r="J676" s="29">
        <v>50</v>
      </c>
      <c r="K676" s="2">
        <v>48</v>
      </c>
      <c r="M676" s="2" t="s">
        <v>2677</v>
      </c>
      <c r="N676" s="2" t="s">
        <v>48</v>
      </c>
      <c r="O676" s="2" t="s">
        <v>3182</v>
      </c>
      <c r="P676" s="2" t="s">
        <v>3149</v>
      </c>
      <c r="Q676" s="2" t="s">
        <v>3183</v>
      </c>
      <c r="R676" s="2">
        <v>55318</v>
      </c>
      <c r="S676" s="2">
        <v>44.849477999999998</v>
      </c>
      <c r="T676" s="2">
        <v>-93.589107999999996</v>
      </c>
      <c r="U676" s="2" t="s">
        <v>378</v>
      </c>
      <c r="V676" s="2" t="s">
        <v>3184</v>
      </c>
      <c r="W676" s="10">
        <v>605500</v>
      </c>
      <c r="AC676" s="2" t="s">
        <v>51</v>
      </c>
      <c r="AD676" s="2">
        <f t="shared" si="10"/>
        <v>2021</v>
      </c>
    </row>
    <row r="677" spans="1:30" hidden="1">
      <c r="A677" s="2" t="s">
        <v>3059</v>
      </c>
      <c r="B677" s="42">
        <v>44446</v>
      </c>
      <c r="C677" s="2" t="s">
        <v>3185</v>
      </c>
      <c r="D677" s="2" t="s">
        <v>340</v>
      </c>
      <c r="E677" s="2" t="s">
        <v>66</v>
      </c>
      <c r="F677" s="1" t="s">
        <v>34</v>
      </c>
      <c r="G677" s="2" t="s">
        <v>3186</v>
      </c>
      <c r="H677" s="2" t="s">
        <v>2159</v>
      </c>
      <c r="I677" s="10">
        <v>7000000</v>
      </c>
      <c r="J677" s="29"/>
      <c r="L677" s="5">
        <v>9000</v>
      </c>
      <c r="M677" s="2" t="s">
        <v>2799</v>
      </c>
      <c r="N677" s="2" t="s">
        <v>48</v>
      </c>
      <c r="O677" s="2" t="s">
        <v>3187</v>
      </c>
      <c r="P677" s="2" t="s">
        <v>285</v>
      </c>
      <c r="Q677" s="2" t="s">
        <v>3188</v>
      </c>
      <c r="R677" s="2">
        <v>55441</v>
      </c>
      <c r="S677" s="2">
        <v>44.990327999999998</v>
      </c>
      <c r="T677" s="2">
        <v>-93.450460000000007</v>
      </c>
      <c r="W677" s="10"/>
      <c r="AC677" s="2" t="s">
        <v>51</v>
      </c>
      <c r="AD677" s="2">
        <f t="shared" si="10"/>
        <v>2021</v>
      </c>
    </row>
    <row r="678" spans="1:30" ht="18" hidden="1">
      <c r="A678" s="2" t="s">
        <v>3059</v>
      </c>
      <c r="B678" s="148">
        <v>44447</v>
      </c>
      <c r="C678" s="145" t="s">
        <v>3189</v>
      </c>
      <c r="D678" s="145" t="s">
        <v>65</v>
      </c>
      <c r="E678" s="2" t="s">
        <v>66</v>
      </c>
      <c r="F678" s="1" t="s">
        <v>34</v>
      </c>
      <c r="G678" s="2" t="s">
        <v>3190</v>
      </c>
      <c r="H678" s="11" t="s">
        <v>2079</v>
      </c>
      <c r="I678" s="10"/>
      <c r="J678" s="29"/>
      <c r="M678" s="2" t="s">
        <v>531</v>
      </c>
      <c r="N678" s="2" t="s">
        <v>300</v>
      </c>
      <c r="O678" s="2" t="s">
        <v>3191</v>
      </c>
      <c r="Q678" s="144" t="s">
        <v>3192</v>
      </c>
      <c r="R678" s="2">
        <v>55402</v>
      </c>
      <c r="S678" s="2">
        <v>44.976478</v>
      </c>
      <c r="T678" s="2">
        <v>-93.268620999999996</v>
      </c>
      <c r="W678" s="10"/>
      <c r="X678" s="11" t="s">
        <v>2319</v>
      </c>
      <c r="Y678" s="2" t="s">
        <v>3189</v>
      </c>
      <c r="AB678" s="2" t="s">
        <v>347</v>
      </c>
      <c r="AC678" s="2" t="s">
        <v>51</v>
      </c>
      <c r="AD678" s="2">
        <f t="shared" si="10"/>
        <v>2021</v>
      </c>
    </row>
    <row r="679" spans="1:30" ht="18" hidden="1">
      <c r="A679" s="2" t="s">
        <v>3059</v>
      </c>
      <c r="B679" s="148">
        <v>44448</v>
      </c>
      <c r="C679" s="145" t="s">
        <v>442</v>
      </c>
      <c r="D679" s="145" t="s">
        <v>65</v>
      </c>
      <c r="E679" s="2" t="s">
        <v>66</v>
      </c>
      <c r="F679" s="1" t="s">
        <v>34</v>
      </c>
      <c r="G679" s="2" t="s">
        <v>3193</v>
      </c>
      <c r="I679" s="10"/>
      <c r="J679" s="29">
        <v>170</v>
      </c>
      <c r="N679" s="2" t="s">
        <v>253</v>
      </c>
      <c r="O679" s="2" t="s">
        <v>3194</v>
      </c>
      <c r="Q679" s="144" t="s">
        <v>3195</v>
      </c>
      <c r="R679" s="2">
        <v>55401</v>
      </c>
      <c r="S679" s="2">
        <v>44.984155000000001</v>
      </c>
      <c r="T679" s="2">
        <v>-93.274996999999999</v>
      </c>
      <c r="W679" s="10"/>
      <c r="Y679" s="1" t="s">
        <v>442</v>
      </c>
      <c r="Z679" s="1" t="s">
        <v>875</v>
      </c>
      <c r="AA679" s="1" t="s">
        <v>328</v>
      </c>
      <c r="AC679" s="2" t="s">
        <v>51</v>
      </c>
      <c r="AD679" s="2">
        <f t="shared" si="10"/>
        <v>2021</v>
      </c>
    </row>
    <row r="680" spans="1:30" ht="18" hidden="1">
      <c r="A680" s="2" t="s">
        <v>3059</v>
      </c>
      <c r="B680" s="148">
        <v>44448</v>
      </c>
      <c r="C680" s="145" t="s">
        <v>128</v>
      </c>
      <c r="D680" s="145" t="s">
        <v>129</v>
      </c>
      <c r="E680" s="1" t="s">
        <v>91</v>
      </c>
      <c r="F680" s="1" t="s">
        <v>34</v>
      </c>
      <c r="G680" s="2" t="s">
        <v>3196</v>
      </c>
      <c r="H680" s="2" t="s">
        <v>131</v>
      </c>
      <c r="I680" s="10">
        <v>21000000</v>
      </c>
      <c r="J680" s="29">
        <v>60</v>
      </c>
      <c r="M680" s="1" t="s">
        <v>132</v>
      </c>
      <c r="N680" s="2" t="s">
        <v>48</v>
      </c>
      <c r="O680" s="7" t="s">
        <v>3197</v>
      </c>
      <c r="Q680" s="144" t="s">
        <v>134</v>
      </c>
      <c r="R680" s="2">
        <v>55768</v>
      </c>
      <c r="S680" s="2">
        <v>47.521563</v>
      </c>
      <c r="T680" s="2">
        <v>-92.606620000000007</v>
      </c>
      <c r="U680" s="2" t="s">
        <v>378</v>
      </c>
      <c r="V680" s="2" t="s">
        <v>3198</v>
      </c>
      <c r="W680" s="10">
        <v>2750000</v>
      </c>
      <c r="X680" s="2" t="s">
        <v>2319</v>
      </c>
      <c r="Y680" s="2" t="s">
        <v>3199</v>
      </c>
      <c r="AB680" s="2" t="s">
        <v>3200</v>
      </c>
      <c r="AC680" s="2" t="s">
        <v>97</v>
      </c>
      <c r="AD680" s="2">
        <f t="shared" si="10"/>
        <v>2021</v>
      </c>
    </row>
    <row r="681" spans="1:30" hidden="1">
      <c r="A681" s="2" t="s">
        <v>3059</v>
      </c>
      <c r="B681" s="42">
        <v>44449</v>
      </c>
      <c r="C681" s="1" t="s">
        <v>1948</v>
      </c>
      <c r="D681" s="2" t="s">
        <v>372</v>
      </c>
      <c r="E681" s="2" t="s">
        <v>373</v>
      </c>
      <c r="F681" s="1" t="s">
        <v>34</v>
      </c>
      <c r="G681" s="2" t="s">
        <v>3201</v>
      </c>
      <c r="H681" s="2" t="s">
        <v>131</v>
      </c>
      <c r="I681" s="9">
        <v>60000000</v>
      </c>
      <c r="J681" s="29"/>
      <c r="M681" s="1" t="s">
        <v>47</v>
      </c>
      <c r="N681" s="2" t="s">
        <v>48</v>
      </c>
      <c r="O681" s="2" t="s">
        <v>3202</v>
      </c>
      <c r="P681" s="2" t="s">
        <v>3203</v>
      </c>
      <c r="Q681" s="2" t="s">
        <v>3204</v>
      </c>
      <c r="R681" s="2">
        <v>56001</v>
      </c>
      <c r="S681" s="2">
        <v>44.157589999999999</v>
      </c>
      <c r="T681" s="2">
        <v>-94.027878000000001</v>
      </c>
      <c r="W681" s="11"/>
      <c r="AC681" s="2" t="s">
        <v>120</v>
      </c>
      <c r="AD681" s="2">
        <f t="shared" si="10"/>
        <v>2021</v>
      </c>
    </row>
    <row r="682" spans="1:30" hidden="1">
      <c r="A682" s="2" t="s">
        <v>3059</v>
      </c>
      <c r="B682" s="42">
        <v>44449</v>
      </c>
      <c r="C682" s="1" t="s">
        <v>3205</v>
      </c>
      <c r="D682" s="2" t="s">
        <v>1590</v>
      </c>
      <c r="E682" s="2" t="s">
        <v>66</v>
      </c>
      <c r="F682" s="1" t="s">
        <v>34</v>
      </c>
      <c r="G682" s="2" t="s">
        <v>3206</v>
      </c>
      <c r="H682" s="2" t="s">
        <v>131</v>
      </c>
      <c r="I682" s="10">
        <v>1497000</v>
      </c>
      <c r="J682" s="29">
        <v>7</v>
      </c>
      <c r="M682" s="2" t="s">
        <v>684</v>
      </c>
      <c r="N682" s="2" t="s">
        <v>48</v>
      </c>
      <c r="O682" s="2" t="s">
        <v>114</v>
      </c>
      <c r="P682" s="2" t="s">
        <v>658</v>
      </c>
      <c r="Q682" s="2" t="s">
        <v>3207</v>
      </c>
      <c r="R682" s="2">
        <v>55406</v>
      </c>
      <c r="S682" s="2">
        <v>44.931117</v>
      </c>
      <c r="T682" s="2">
        <v>-93.224909999999994</v>
      </c>
      <c r="U682" s="2" t="s">
        <v>378</v>
      </c>
      <c r="V682" s="2" t="s">
        <v>1306</v>
      </c>
      <c r="W682" s="10">
        <v>140000</v>
      </c>
      <c r="AC682" s="2" t="s">
        <v>51</v>
      </c>
      <c r="AD682" s="2">
        <f t="shared" si="10"/>
        <v>2021</v>
      </c>
    </row>
    <row r="683" spans="1:30" hidden="1">
      <c r="A683" s="2" t="s">
        <v>3059</v>
      </c>
      <c r="B683" s="148">
        <v>44454</v>
      </c>
      <c r="C683" s="145" t="s">
        <v>3208</v>
      </c>
      <c r="D683" s="145" t="s">
        <v>165</v>
      </c>
      <c r="E683" s="2" t="s">
        <v>66</v>
      </c>
      <c r="F683" s="1" t="s">
        <v>34</v>
      </c>
      <c r="G683" s="2" t="s">
        <v>3209</v>
      </c>
      <c r="H683" s="2" t="s">
        <v>3210</v>
      </c>
      <c r="I683" s="10">
        <v>727848</v>
      </c>
      <c r="J683" s="29">
        <v>50</v>
      </c>
      <c r="L683" s="5">
        <f>117000-70000</f>
        <v>47000</v>
      </c>
      <c r="M683" s="2" t="s">
        <v>2799</v>
      </c>
      <c r="N683" s="2" t="s">
        <v>48</v>
      </c>
      <c r="O683" s="2" t="s">
        <v>3211</v>
      </c>
      <c r="Q683" s="2" t="s">
        <v>3212</v>
      </c>
      <c r="R683" s="2">
        <v>55369</v>
      </c>
      <c r="S683" s="2">
        <v>45.117100999999998</v>
      </c>
      <c r="T683" s="2">
        <v>-93.408434999999997</v>
      </c>
      <c r="U683" s="2" t="s">
        <v>378</v>
      </c>
      <c r="V683" s="2" t="s">
        <v>1576</v>
      </c>
      <c r="W683" s="10">
        <v>315000</v>
      </c>
      <c r="AC683" s="2" t="s">
        <v>51</v>
      </c>
      <c r="AD683" s="2">
        <f t="shared" si="10"/>
        <v>2021</v>
      </c>
    </row>
    <row r="684" spans="1:30" ht="18" hidden="1">
      <c r="A684" s="2" t="s">
        <v>3059</v>
      </c>
      <c r="B684" s="148">
        <v>44456</v>
      </c>
      <c r="C684" s="145" t="s">
        <v>3213</v>
      </c>
      <c r="D684" s="145" t="s">
        <v>448</v>
      </c>
      <c r="E684" s="2" t="s">
        <v>66</v>
      </c>
      <c r="F684" s="1" t="s">
        <v>34</v>
      </c>
      <c r="G684" s="2" t="s">
        <v>3214</v>
      </c>
      <c r="I684" s="10"/>
      <c r="J684" s="29"/>
      <c r="M684" s="2" t="s">
        <v>2521</v>
      </c>
      <c r="N684" s="2" t="s">
        <v>140</v>
      </c>
      <c r="O684" s="2" t="s">
        <v>3215</v>
      </c>
      <c r="Q684" s="144" t="s">
        <v>3216</v>
      </c>
      <c r="R684" s="2">
        <v>55344</v>
      </c>
      <c r="S684" s="2">
        <v>44.860368000000001</v>
      </c>
      <c r="T684" s="2">
        <v>-93.408475999999993</v>
      </c>
      <c r="W684" s="10"/>
      <c r="AC684" s="2" t="s">
        <v>51</v>
      </c>
      <c r="AD684" s="2">
        <f t="shared" si="10"/>
        <v>2021</v>
      </c>
    </row>
    <row r="685" spans="1:30" hidden="1">
      <c r="A685" s="2" t="s">
        <v>3059</v>
      </c>
      <c r="B685" s="42">
        <v>44458</v>
      </c>
      <c r="C685" s="2" t="s">
        <v>3217</v>
      </c>
      <c r="D685" s="2" t="s">
        <v>1302</v>
      </c>
      <c r="E685" s="2" t="s">
        <v>66</v>
      </c>
      <c r="F685" s="1" t="s">
        <v>34</v>
      </c>
      <c r="G685" s="2" t="s">
        <v>3218</v>
      </c>
      <c r="I685" s="10"/>
      <c r="J685" s="29">
        <v>12</v>
      </c>
      <c r="M685" s="2" t="s">
        <v>2799</v>
      </c>
      <c r="N685" s="2" t="s">
        <v>48</v>
      </c>
      <c r="O685" s="7" t="s">
        <v>3219</v>
      </c>
      <c r="Q685" s="2" t="s">
        <v>3220</v>
      </c>
      <c r="R685" s="2">
        <v>55427</v>
      </c>
      <c r="S685" s="2">
        <v>44.986949000000003</v>
      </c>
      <c r="T685" s="2">
        <v>-93.397054999999995</v>
      </c>
      <c r="U685" s="2" t="s">
        <v>143</v>
      </c>
      <c r="W685" s="10"/>
      <c r="AC685" s="2" t="s">
        <v>51</v>
      </c>
      <c r="AD685" s="2">
        <f t="shared" si="10"/>
        <v>2021</v>
      </c>
    </row>
    <row r="686" spans="1:30" hidden="1">
      <c r="A686" s="2" t="s">
        <v>3059</v>
      </c>
      <c r="B686" s="42">
        <v>44460</v>
      </c>
      <c r="C686" s="2" t="s">
        <v>3221</v>
      </c>
      <c r="D686" s="2" t="s">
        <v>394</v>
      </c>
      <c r="E686" s="2" t="s">
        <v>395</v>
      </c>
      <c r="F686" s="1" t="s">
        <v>34</v>
      </c>
      <c r="G686" s="2" t="s">
        <v>3222</v>
      </c>
      <c r="H686" s="2" t="s">
        <v>1024</v>
      </c>
      <c r="I686" s="11">
        <v>25400000</v>
      </c>
      <c r="J686" s="5">
        <v>70</v>
      </c>
      <c r="L686" s="5">
        <v>181710</v>
      </c>
      <c r="M686" s="2" t="s">
        <v>417</v>
      </c>
      <c r="N686" s="2" t="s">
        <v>48</v>
      </c>
      <c r="O686" s="7" t="s">
        <v>3223</v>
      </c>
      <c r="Q686" s="2" t="s">
        <v>3224</v>
      </c>
      <c r="R686" s="2">
        <v>55309</v>
      </c>
      <c r="S686" s="2">
        <v>45.335988</v>
      </c>
      <c r="T686" s="2">
        <v>-93.723983000000004</v>
      </c>
      <c r="U686" s="2" t="s">
        <v>378</v>
      </c>
      <c r="V686" s="2" t="s">
        <v>379</v>
      </c>
      <c r="W686" s="11">
        <v>1200000</v>
      </c>
      <c r="AC686" s="2" t="s">
        <v>41</v>
      </c>
      <c r="AD686" s="2">
        <f t="shared" si="10"/>
        <v>2021</v>
      </c>
    </row>
    <row r="687" spans="1:30" ht="18" hidden="1">
      <c r="A687" s="2" t="s">
        <v>3059</v>
      </c>
      <c r="B687" s="148">
        <v>44462</v>
      </c>
      <c r="C687" s="145" t="s">
        <v>138</v>
      </c>
      <c r="D687" s="145" t="s">
        <v>2113</v>
      </c>
      <c r="E687" s="2" t="s">
        <v>99</v>
      </c>
      <c r="F687" s="1" t="s">
        <v>34</v>
      </c>
      <c r="G687" s="2" t="s">
        <v>3225</v>
      </c>
      <c r="I687" s="10"/>
      <c r="J687" s="29"/>
      <c r="M687" s="2" t="s">
        <v>1636</v>
      </c>
      <c r="N687" s="2" t="s">
        <v>140</v>
      </c>
      <c r="O687" s="2" t="s">
        <v>3226</v>
      </c>
      <c r="Q687" s="144" t="s">
        <v>533</v>
      </c>
      <c r="R687" s="2">
        <v>55102</v>
      </c>
      <c r="S687" s="2">
        <v>44.946106</v>
      </c>
      <c r="T687" s="2">
        <v>-93.094076999999999</v>
      </c>
      <c r="V687" s="2" t="s">
        <v>143</v>
      </c>
      <c r="W687" s="10"/>
      <c r="AC687" s="2" t="s">
        <v>51</v>
      </c>
      <c r="AD687" s="2">
        <f t="shared" si="10"/>
        <v>2021</v>
      </c>
    </row>
    <row r="688" spans="1:30" hidden="1">
      <c r="A688" s="42" t="s">
        <v>3227</v>
      </c>
      <c r="B688" s="42">
        <v>44473</v>
      </c>
      <c r="C688" s="145" t="s">
        <v>2617</v>
      </c>
      <c r="D688" s="145" t="s">
        <v>65</v>
      </c>
      <c r="E688" s="2" t="s">
        <v>66</v>
      </c>
      <c r="F688" s="1" t="s">
        <v>34</v>
      </c>
      <c r="G688" s="2" t="s">
        <v>3228</v>
      </c>
      <c r="I688" s="10"/>
      <c r="J688" s="29"/>
      <c r="N688" s="2" t="s">
        <v>253</v>
      </c>
      <c r="O688" s="2" t="s">
        <v>3229</v>
      </c>
      <c r="R688" s="2">
        <v>55401</v>
      </c>
      <c r="S688" s="2">
        <v>44.984577000000002</v>
      </c>
      <c r="T688" s="2">
        <v>-93.269097000000002</v>
      </c>
      <c r="W688" s="10"/>
      <c r="AC688" s="2" t="s">
        <v>51</v>
      </c>
      <c r="AD688" s="2">
        <f t="shared" si="10"/>
        <v>2021</v>
      </c>
    </row>
    <row r="689" spans="1:30" hidden="1">
      <c r="A689" s="42" t="s">
        <v>3227</v>
      </c>
      <c r="B689" s="42">
        <v>44482</v>
      </c>
      <c r="C689" s="145" t="s">
        <v>442</v>
      </c>
      <c r="D689" s="145" t="s">
        <v>800</v>
      </c>
      <c r="E689" s="2" t="s">
        <v>44</v>
      </c>
      <c r="F689" s="1" t="s">
        <v>34</v>
      </c>
      <c r="G689" s="2" t="s">
        <v>3230</v>
      </c>
      <c r="H689" s="2" t="s">
        <v>3231</v>
      </c>
      <c r="I689" s="10"/>
      <c r="J689" s="29">
        <v>500</v>
      </c>
      <c r="L689" s="5">
        <v>517000</v>
      </c>
      <c r="N689" s="2" t="s">
        <v>253</v>
      </c>
      <c r="O689" s="2" t="s">
        <v>3232</v>
      </c>
      <c r="Q689" s="2" t="s">
        <v>3233</v>
      </c>
      <c r="R689" s="2">
        <v>55125</v>
      </c>
      <c r="S689" s="2">
        <v>44.944890000000001</v>
      </c>
      <c r="T689" s="2">
        <v>-92.863780000000006</v>
      </c>
      <c r="W689" s="10"/>
      <c r="Y689" s="1" t="s">
        <v>442</v>
      </c>
      <c r="Z689" s="1" t="s">
        <v>875</v>
      </c>
      <c r="AA689" s="1" t="s">
        <v>328</v>
      </c>
      <c r="AC689" s="2" t="s">
        <v>51</v>
      </c>
      <c r="AD689" s="2">
        <f t="shared" si="10"/>
        <v>2021</v>
      </c>
    </row>
    <row r="690" spans="1:30" hidden="1">
      <c r="A690" s="42" t="s">
        <v>3227</v>
      </c>
      <c r="B690" s="42">
        <v>44488</v>
      </c>
      <c r="C690" s="2" t="s">
        <v>3234</v>
      </c>
      <c r="D690" s="2" t="s">
        <v>65</v>
      </c>
      <c r="E690" s="2" t="s">
        <v>66</v>
      </c>
      <c r="F690" s="1" t="s">
        <v>34</v>
      </c>
      <c r="G690" s="2" t="s">
        <v>3235</v>
      </c>
      <c r="I690" s="10"/>
      <c r="J690" s="29"/>
      <c r="M690" s="2" t="s">
        <v>2936</v>
      </c>
      <c r="N690" s="1" t="s">
        <v>37</v>
      </c>
      <c r="O690" s="2" t="s">
        <v>3236</v>
      </c>
      <c r="R690" s="2">
        <v>55401</v>
      </c>
      <c r="S690" s="2">
        <v>44.984577000000002</v>
      </c>
      <c r="T690" s="2">
        <v>-93.269097000000002</v>
      </c>
      <c r="U690" s="2" t="s">
        <v>143</v>
      </c>
      <c r="W690" s="10"/>
      <c r="AC690" s="2" t="s">
        <v>51</v>
      </c>
      <c r="AD690" s="2">
        <f t="shared" si="10"/>
        <v>2021</v>
      </c>
    </row>
    <row r="691" spans="1:30" hidden="1">
      <c r="A691" s="42" t="s">
        <v>3227</v>
      </c>
      <c r="B691" s="42">
        <v>44495</v>
      </c>
      <c r="C691" s="1" t="s">
        <v>3237</v>
      </c>
      <c r="D691" s="2" t="s">
        <v>3238</v>
      </c>
      <c r="E691" s="2" t="s">
        <v>3239</v>
      </c>
      <c r="F691" s="1" t="s">
        <v>34</v>
      </c>
      <c r="G691" s="2" t="s">
        <v>3240</v>
      </c>
      <c r="H691" s="2" t="s">
        <v>131</v>
      </c>
      <c r="I691" s="9">
        <v>19500000</v>
      </c>
      <c r="J691" s="29"/>
      <c r="K691" s="2">
        <v>9</v>
      </c>
      <c r="M691" s="1" t="s">
        <v>47</v>
      </c>
      <c r="N691" s="2" t="s">
        <v>48</v>
      </c>
      <c r="O691" s="2" t="s">
        <v>3241</v>
      </c>
      <c r="P691" s="2" t="s">
        <v>2597</v>
      </c>
      <c r="Q691" s="2" t="s">
        <v>3242</v>
      </c>
      <c r="R691" s="2">
        <v>56081</v>
      </c>
      <c r="S691" s="2">
        <v>43.982900000000001</v>
      </c>
      <c r="T691" s="2">
        <v>-94.625393000000003</v>
      </c>
      <c r="U691" s="2" t="s">
        <v>378</v>
      </c>
      <c r="V691" s="2" t="s">
        <v>287</v>
      </c>
      <c r="W691" s="10">
        <v>382067</v>
      </c>
      <c r="AC691" s="2" t="s">
        <v>120</v>
      </c>
      <c r="AD691" s="2">
        <f t="shared" si="10"/>
        <v>2021</v>
      </c>
    </row>
    <row r="692" spans="1:30" hidden="1">
      <c r="A692" s="42" t="s">
        <v>3227</v>
      </c>
      <c r="B692" s="42">
        <v>44498</v>
      </c>
      <c r="C692" s="2" t="s">
        <v>3095</v>
      </c>
      <c r="D692" s="2" t="s">
        <v>3243</v>
      </c>
      <c r="E692" s="2" t="s">
        <v>74</v>
      </c>
      <c r="F692" s="1" t="s">
        <v>34</v>
      </c>
      <c r="G692" s="2" t="s">
        <v>3244</v>
      </c>
      <c r="H692" s="2" t="s">
        <v>3231</v>
      </c>
      <c r="I692" s="10"/>
      <c r="J692" s="29">
        <v>600</v>
      </c>
      <c r="L692" s="5">
        <v>548000</v>
      </c>
      <c r="N692" s="2" t="s">
        <v>77</v>
      </c>
      <c r="O692" s="2" t="s">
        <v>3245</v>
      </c>
      <c r="P692" s="2" t="s">
        <v>3246</v>
      </c>
      <c r="Q692" s="2" t="s">
        <v>3247</v>
      </c>
      <c r="R692" s="2">
        <v>55068</v>
      </c>
      <c r="S692" s="2">
        <v>44.739863999999997</v>
      </c>
      <c r="T692" s="2">
        <v>-93.025127999999995</v>
      </c>
      <c r="W692" s="10"/>
      <c r="AC692" s="2" t="s">
        <v>51</v>
      </c>
      <c r="AD692" s="2">
        <f t="shared" si="10"/>
        <v>2021</v>
      </c>
    </row>
    <row r="693" spans="1:30" hidden="1">
      <c r="A693" s="42" t="s">
        <v>3227</v>
      </c>
      <c r="B693" s="42">
        <v>44498</v>
      </c>
      <c r="C693" s="2" t="s">
        <v>3248</v>
      </c>
      <c r="D693" s="2" t="s">
        <v>3243</v>
      </c>
      <c r="E693" s="2" t="s">
        <v>74</v>
      </c>
      <c r="F693" s="1" t="s">
        <v>34</v>
      </c>
      <c r="G693" s="2" t="s">
        <v>3249</v>
      </c>
      <c r="H693" s="2" t="s">
        <v>3231</v>
      </c>
      <c r="I693" s="9">
        <v>63218518</v>
      </c>
      <c r="J693" s="29">
        <v>50</v>
      </c>
      <c r="L693" s="5">
        <v>417600</v>
      </c>
      <c r="N693" s="2" t="s">
        <v>253</v>
      </c>
      <c r="O693" s="2" t="s">
        <v>3245</v>
      </c>
      <c r="P693" s="2" t="s">
        <v>3246</v>
      </c>
      <c r="Q693" s="2" t="s">
        <v>3250</v>
      </c>
      <c r="R693" s="2">
        <v>55068</v>
      </c>
      <c r="S693" s="2">
        <v>44.728490999999998</v>
      </c>
      <c r="T693" s="2">
        <v>-93.125985999999997</v>
      </c>
      <c r="U693" s="2" t="s">
        <v>378</v>
      </c>
      <c r="V693" s="2" t="s">
        <v>1576</v>
      </c>
      <c r="W693" s="10">
        <v>375000</v>
      </c>
      <c r="AC693" s="2" t="s">
        <v>51</v>
      </c>
      <c r="AD693" s="2">
        <f t="shared" si="10"/>
        <v>2021</v>
      </c>
    </row>
    <row r="694" spans="1:30" hidden="1">
      <c r="A694" s="42" t="s">
        <v>3227</v>
      </c>
      <c r="B694" s="42">
        <v>44507</v>
      </c>
      <c r="C694" s="2" t="s">
        <v>3251</v>
      </c>
      <c r="D694" s="2" t="s">
        <v>1155</v>
      </c>
      <c r="E694" s="2" t="s">
        <v>44</v>
      </c>
      <c r="F694" s="1" t="s">
        <v>34</v>
      </c>
      <c r="G694" s="2" t="s">
        <v>3252</v>
      </c>
      <c r="H694" s="2" t="s">
        <v>2159</v>
      </c>
      <c r="I694" s="10"/>
      <c r="J694" s="29"/>
      <c r="M694" s="2" t="s">
        <v>167</v>
      </c>
      <c r="N694" s="2" t="s">
        <v>48</v>
      </c>
      <c r="O694" s="7" t="s">
        <v>3253</v>
      </c>
      <c r="Q694" s="2" t="s">
        <v>3254</v>
      </c>
      <c r="R694" s="2">
        <v>55128</v>
      </c>
      <c r="S694" s="2">
        <v>45.000019999999999</v>
      </c>
      <c r="T694" s="2">
        <v>-92.948884000000007</v>
      </c>
      <c r="W694" s="10"/>
      <c r="AC694" s="2" t="s">
        <v>51</v>
      </c>
      <c r="AD694" s="2">
        <f t="shared" si="10"/>
        <v>2021</v>
      </c>
    </row>
    <row r="695" spans="1:30" hidden="1">
      <c r="A695" s="42" t="s">
        <v>3227</v>
      </c>
      <c r="B695" s="42">
        <v>44507</v>
      </c>
      <c r="C695" s="2" t="s">
        <v>3255</v>
      </c>
      <c r="D695" s="2" t="s">
        <v>3243</v>
      </c>
      <c r="E695" s="2" t="s">
        <v>74</v>
      </c>
      <c r="F695" s="1" t="s">
        <v>34</v>
      </c>
      <c r="G695" s="2" t="s">
        <v>3256</v>
      </c>
      <c r="H695" s="2" t="s">
        <v>3231</v>
      </c>
      <c r="I695" s="10">
        <v>10000000</v>
      </c>
      <c r="L695" s="5">
        <v>70000</v>
      </c>
      <c r="M695" s="2" t="s">
        <v>665</v>
      </c>
      <c r="N695" s="251" t="s">
        <v>103</v>
      </c>
      <c r="O695" s="7" t="s">
        <v>3257</v>
      </c>
      <c r="Q695" s="2" t="s">
        <v>3258</v>
      </c>
      <c r="R695" s="2">
        <v>55068</v>
      </c>
      <c r="S695" s="2">
        <v>44.757401000000002</v>
      </c>
      <c r="T695" s="2">
        <v>-93.011330999999998</v>
      </c>
      <c r="W695" s="10"/>
      <c r="AC695" s="2" t="s">
        <v>51</v>
      </c>
      <c r="AD695" s="2">
        <f t="shared" si="10"/>
        <v>2021</v>
      </c>
    </row>
    <row r="696" spans="1:30" hidden="1">
      <c r="A696" s="42" t="s">
        <v>3227</v>
      </c>
      <c r="B696" s="42">
        <v>44509</v>
      </c>
      <c r="C696" s="2" t="s">
        <v>442</v>
      </c>
      <c r="D696" s="2" t="s">
        <v>165</v>
      </c>
      <c r="E696" s="2" t="s">
        <v>66</v>
      </c>
      <c r="F696" s="1" t="s">
        <v>34</v>
      </c>
      <c r="G696" s="2" t="s">
        <v>3259</v>
      </c>
      <c r="H696" s="2" t="s">
        <v>3231</v>
      </c>
      <c r="I696" s="10"/>
      <c r="J696" s="29">
        <v>1000</v>
      </c>
      <c r="L696" s="5">
        <v>350000</v>
      </c>
      <c r="N696" s="2" t="s">
        <v>253</v>
      </c>
      <c r="O696" s="7" t="s">
        <v>3260</v>
      </c>
      <c r="Q696" s="2" t="s">
        <v>3261</v>
      </c>
      <c r="R696" s="2">
        <v>55369</v>
      </c>
      <c r="S696" s="2">
        <v>45.117942999999997</v>
      </c>
      <c r="T696" s="2">
        <v>-93.413921999999999</v>
      </c>
      <c r="W696" s="10"/>
      <c r="Y696" s="1" t="s">
        <v>442</v>
      </c>
      <c r="Z696" s="1" t="s">
        <v>875</v>
      </c>
      <c r="AA696" s="1" t="s">
        <v>328</v>
      </c>
      <c r="AC696" s="2" t="s">
        <v>51</v>
      </c>
      <c r="AD696" s="2">
        <f t="shared" si="10"/>
        <v>2021</v>
      </c>
    </row>
    <row r="697" spans="1:30" hidden="1">
      <c r="A697" s="42" t="s">
        <v>3227</v>
      </c>
      <c r="B697" s="42">
        <v>44509</v>
      </c>
      <c r="C697" s="2" t="s">
        <v>3262</v>
      </c>
      <c r="D697" s="2" t="s">
        <v>65</v>
      </c>
      <c r="E697" s="2" t="s">
        <v>66</v>
      </c>
      <c r="F697" s="1" t="s">
        <v>34</v>
      </c>
      <c r="G697" s="2" t="s">
        <v>3263</v>
      </c>
      <c r="I697" s="10"/>
      <c r="J697" s="29">
        <v>8</v>
      </c>
      <c r="M697" s="2" t="s">
        <v>167</v>
      </c>
      <c r="N697" s="2" t="s">
        <v>48</v>
      </c>
      <c r="O697" s="7" t="s">
        <v>3264</v>
      </c>
      <c r="R697" s="2">
        <v>55401</v>
      </c>
      <c r="S697" s="2">
        <v>44.984577000000002</v>
      </c>
      <c r="T697" s="2">
        <v>-93.269097000000002</v>
      </c>
      <c r="W697" s="11"/>
      <c r="AC697" s="2" t="s">
        <v>51</v>
      </c>
      <c r="AD697" s="2">
        <f t="shared" si="10"/>
        <v>2021</v>
      </c>
    </row>
    <row r="698" spans="1:30" hidden="1">
      <c r="A698" s="42" t="s">
        <v>3227</v>
      </c>
      <c r="B698" s="42">
        <v>44518</v>
      </c>
      <c r="C698" s="2" t="s">
        <v>3265</v>
      </c>
      <c r="D698" s="2" t="s">
        <v>676</v>
      </c>
      <c r="E698" s="2" t="s">
        <v>677</v>
      </c>
      <c r="F698" s="1" t="s">
        <v>34</v>
      </c>
      <c r="G698" s="2" t="s">
        <v>3266</v>
      </c>
      <c r="H698" s="2" t="s">
        <v>131</v>
      </c>
      <c r="I698" s="10"/>
      <c r="J698" s="29"/>
      <c r="M698" s="2" t="s">
        <v>93</v>
      </c>
      <c r="N698" s="2" t="s">
        <v>48</v>
      </c>
      <c r="O698" s="7" t="s">
        <v>3267</v>
      </c>
      <c r="Q698" s="2" t="s">
        <v>3268</v>
      </c>
      <c r="R698" s="2">
        <v>55432</v>
      </c>
      <c r="S698" s="2">
        <v>45.104985999999997</v>
      </c>
      <c r="T698" s="2">
        <v>-93.266814999999994</v>
      </c>
      <c r="W698" s="10"/>
      <c r="AC698" s="2" t="s">
        <v>51</v>
      </c>
      <c r="AD698" s="2">
        <f t="shared" si="10"/>
        <v>2021</v>
      </c>
    </row>
    <row r="699" spans="1:30" hidden="1">
      <c r="A699" s="42" t="s">
        <v>3227</v>
      </c>
      <c r="B699" s="42">
        <v>44518</v>
      </c>
      <c r="C699" s="2" t="s">
        <v>3269</v>
      </c>
      <c r="D699" s="2" t="s">
        <v>340</v>
      </c>
      <c r="E699" s="2" t="s">
        <v>66</v>
      </c>
      <c r="F699" s="1" t="s">
        <v>34</v>
      </c>
      <c r="G699" s="2" t="s">
        <v>3270</v>
      </c>
      <c r="H699" s="2" t="s">
        <v>1359</v>
      </c>
      <c r="I699" s="10">
        <v>4900000</v>
      </c>
      <c r="J699" s="29"/>
      <c r="L699" s="5">
        <f>25000</f>
        <v>25000</v>
      </c>
      <c r="M699" s="2" t="s">
        <v>2521</v>
      </c>
      <c r="N699" s="2" t="s">
        <v>140</v>
      </c>
      <c r="O699" s="7" t="s">
        <v>3271</v>
      </c>
      <c r="Q699" s="2" t="s">
        <v>3272</v>
      </c>
      <c r="R699" s="2">
        <v>55441</v>
      </c>
      <c r="S699" s="2">
        <v>44.988151999999999</v>
      </c>
      <c r="T699" s="2">
        <v>-93.449973</v>
      </c>
      <c r="W699" s="10"/>
      <c r="AC699" s="2" t="s">
        <v>51</v>
      </c>
      <c r="AD699" s="2">
        <f t="shared" si="10"/>
        <v>2021</v>
      </c>
    </row>
    <row r="700" spans="1:30" hidden="1">
      <c r="A700" s="42" t="s">
        <v>3227</v>
      </c>
      <c r="B700" s="42">
        <v>44521</v>
      </c>
      <c r="C700" s="2" t="s">
        <v>3273</v>
      </c>
      <c r="D700" s="2" t="s">
        <v>65</v>
      </c>
      <c r="E700" s="2" t="s">
        <v>66</v>
      </c>
      <c r="F700" s="1" t="s">
        <v>34</v>
      </c>
      <c r="G700" s="2" t="s">
        <v>3274</v>
      </c>
      <c r="H700" s="2" t="s">
        <v>2079</v>
      </c>
      <c r="I700" s="11"/>
      <c r="M700" s="2" t="s">
        <v>2521</v>
      </c>
      <c r="N700" s="2" t="s">
        <v>140</v>
      </c>
      <c r="O700" s="7" t="s">
        <v>3275</v>
      </c>
      <c r="Q700" s="2" t="s">
        <v>2831</v>
      </c>
      <c r="R700" s="2">
        <v>55402</v>
      </c>
      <c r="S700" s="2">
        <v>44.977378000000002</v>
      </c>
      <c r="T700" s="2">
        <v>-93.273094</v>
      </c>
      <c r="W700" s="11"/>
      <c r="Y700" s="2" t="s">
        <v>3273</v>
      </c>
      <c r="AA700" s="2" t="s">
        <v>3276</v>
      </c>
      <c r="AC700" s="2" t="s">
        <v>51</v>
      </c>
      <c r="AD700" s="2">
        <f t="shared" si="10"/>
        <v>2021</v>
      </c>
    </row>
    <row r="701" spans="1:30" hidden="1">
      <c r="A701" s="42" t="s">
        <v>3227</v>
      </c>
      <c r="B701" s="42">
        <v>44521</v>
      </c>
      <c r="C701" s="2" t="s">
        <v>2617</v>
      </c>
      <c r="D701" s="2" t="s">
        <v>203</v>
      </c>
      <c r="E701" s="2" t="s">
        <v>74</v>
      </c>
      <c r="F701" s="1" t="s">
        <v>34</v>
      </c>
      <c r="G701" s="2" t="s">
        <v>3277</v>
      </c>
      <c r="H701" s="2" t="s">
        <v>2079</v>
      </c>
      <c r="I701" s="11"/>
      <c r="N701" s="2" t="s">
        <v>253</v>
      </c>
      <c r="O701" s="7" t="s">
        <v>3278</v>
      </c>
      <c r="R701" s="2">
        <v>55122</v>
      </c>
      <c r="S701" s="2">
        <v>44.802790999999999</v>
      </c>
      <c r="T701" s="2">
        <v>-93.167767999999995</v>
      </c>
      <c r="W701" s="11"/>
      <c r="AC701" s="2" t="s">
        <v>51</v>
      </c>
      <c r="AD701" s="2">
        <f t="shared" si="10"/>
        <v>2021</v>
      </c>
    </row>
    <row r="702" spans="1:30" hidden="1">
      <c r="A702" s="42" t="s">
        <v>3227</v>
      </c>
      <c r="B702" s="148">
        <v>44523</v>
      </c>
      <c r="C702" s="145" t="s">
        <v>3085</v>
      </c>
      <c r="D702" s="145" t="s">
        <v>415</v>
      </c>
      <c r="E702" s="2" t="s">
        <v>395</v>
      </c>
      <c r="F702" s="1" t="s">
        <v>34</v>
      </c>
      <c r="G702" s="2" t="s">
        <v>3279</v>
      </c>
      <c r="H702" s="2" t="s">
        <v>2214</v>
      </c>
      <c r="I702" s="10">
        <v>75435596</v>
      </c>
      <c r="J702" s="29">
        <v>114</v>
      </c>
      <c r="L702" s="5">
        <v>330000</v>
      </c>
      <c r="M702" s="2" t="s">
        <v>2754</v>
      </c>
      <c r="N702" s="2" t="s">
        <v>313</v>
      </c>
      <c r="O702" s="7" t="s">
        <v>3280</v>
      </c>
      <c r="Q702" s="2" t="s">
        <v>3281</v>
      </c>
      <c r="S702" s="2">
        <v>45.464820000000003</v>
      </c>
      <c r="T702" s="2">
        <v>-94.123890000000003</v>
      </c>
      <c r="U702" s="2" t="s">
        <v>378</v>
      </c>
      <c r="V702" s="150" t="s">
        <v>3282</v>
      </c>
      <c r="W702" s="54">
        <v>175000</v>
      </c>
      <c r="AC702" s="2" t="s">
        <v>41</v>
      </c>
      <c r="AD702" s="2">
        <f t="shared" si="10"/>
        <v>2021</v>
      </c>
    </row>
    <row r="703" spans="1:30" hidden="1">
      <c r="A703" s="42" t="s">
        <v>3227</v>
      </c>
      <c r="B703" s="42">
        <v>44529</v>
      </c>
      <c r="C703" s="2" t="s">
        <v>3283</v>
      </c>
      <c r="D703" s="2" t="s">
        <v>65</v>
      </c>
      <c r="E703" s="2" t="s">
        <v>66</v>
      </c>
      <c r="F703" s="1" t="s">
        <v>34</v>
      </c>
      <c r="G703" s="2" t="s">
        <v>3284</v>
      </c>
      <c r="H703" s="2" t="s">
        <v>2079</v>
      </c>
      <c r="I703" s="11"/>
      <c r="M703" s="2" t="s">
        <v>531</v>
      </c>
      <c r="N703" s="2" t="s">
        <v>300</v>
      </c>
      <c r="O703" s="7" t="s">
        <v>3285</v>
      </c>
      <c r="Q703" s="2" t="s">
        <v>3286</v>
      </c>
      <c r="R703" s="2">
        <v>55408</v>
      </c>
      <c r="S703" s="2">
        <v>44.949720999999997</v>
      </c>
      <c r="T703" s="2">
        <v>-93.297130999999993</v>
      </c>
      <c r="W703" s="11"/>
      <c r="AC703" s="2" t="s">
        <v>51</v>
      </c>
      <c r="AD703" s="2">
        <f t="shared" si="10"/>
        <v>2021</v>
      </c>
    </row>
    <row r="704" spans="1:30" hidden="1">
      <c r="A704" s="42" t="s">
        <v>3227</v>
      </c>
      <c r="B704" s="42">
        <v>44530</v>
      </c>
      <c r="C704" s="2" t="s">
        <v>3287</v>
      </c>
      <c r="D704" s="2" t="s">
        <v>1302</v>
      </c>
      <c r="E704" s="2" t="s">
        <v>66</v>
      </c>
      <c r="F704" s="1" t="s">
        <v>34</v>
      </c>
      <c r="G704" s="2" t="s">
        <v>3288</v>
      </c>
      <c r="I704" s="11"/>
      <c r="M704" s="2" t="s">
        <v>85</v>
      </c>
      <c r="N704" s="2" t="s">
        <v>86</v>
      </c>
      <c r="O704" s="7" t="s">
        <v>3289</v>
      </c>
      <c r="Q704" s="2" t="s">
        <v>3290</v>
      </c>
      <c r="R704" s="2">
        <v>55422</v>
      </c>
      <c r="S704" s="2">
        <v>45.000366</v>
      </c>
      <c r="T704" s="2">
        <v>-93.362853999999999</v>
      </c>
      <c r="W704" s="11"/>
      <c r="X704" s="2" t="s">
        <v>2319</v>
      </c>
      <c r="Y704" s="2" t="s">
        <v>3291</v>
      </c>
      <c r="Z704" s="2" t="s">
        <v>3292</v>
      </c>
      <c r="AB704" s="2" t="s">
        <v>3021</v>
      </c>
      <c r="AC704" s="2" t="s">
        <v>51</v>
      </c>
      <c r="AD704" s="2">
        <f t="shared" si="10"/>
        <v>2021</v>
      </c>
    </row>
    <row r="705" spans="1:30" hidden="1">
      <c r="A705" s="42" t="s">
        <v>3227</v>
      </c>
      <c r="B705" s="93">
        <v>44530</v>
      </c>
      <c r="C705" s="2" t="s">
        <v>3293</v>
      </c>
      <c r="D705" s="2" t="s">
        <v>3294</v>
      </c>
      <c r="E705" s="2" t="s">
        <v>467</v>
      </c>
      <c r="F705" s="1" t="s">
        <v>34</v>
      </c>
      <c r="G705" s="46" t="s">
        <v>3295</v>
      </c>
      <c r="I705" s="10"/>
      <c r="J705" s="5">
        <v>50</v>
      </c>
      <c r="M705" s="2" t="s">
        <v>684</v>
      </c>
      <c r="N705" s="2" t="s">
        <v>48</v>
      </c>
      <c r="O705" s="2" t="s">
        <v>3296</v>
      </c>
      <c r="V705" s="47"/>
      <c r="W705" s="29"/>
      <c r="X705" s="2" t="s">
        <v>2319</v>
      </c>
      <c r="Y705" s="2" t="s">
        <v>3293</v>
      </c>
      <c r="AB705" s="2" t="s">
        <v>423</v>
      </c>
      <c r="AC705" s="2" t="s">
        <v>120</v>
      </c>
      <c r="AD705" s="2">
        <f t="shared" si="10"/>
        <v>2021</v>
      </c>
    </row>
    <row r="706" spans="1:30" hidden="1">
      <c r="A706" s="42" t="s">
        <v>3227</v>
      </c>
      <c r="B706" s="42">
        <v>44532</v>
      </c>
      <c r="C706" s="2" t="s">
        <v>3297</v>
      </c>
      <c r="D706" s="2" t="s">
        <v>174</v>
      </c>
      <c r="E706" s="2" t="s">
        <v>66</v>
      </c>
      <c r="F706" s="1" t="s">
        <v>34</v>
      </c>
      <c r="G706" s="2" t="s">
        <v>3298</v>
      </c>
      <c r="H706" s="2" t="s">
        <v>131</v>
      </c>
      <c r="I706" s="10">
        <v>3750000</v>
      </c>
      <c r="J706" s="29"/>
      <c r="L706" s="5">
        <f>62500-37500</f>
        <v>25000</v>
      </c>
      <c r="M706" s="2" t="s">
        <v>3299</v>
      </c>
      <c r="N706" s="2" t="s">
        <v>48</v>
      </c>
      <c r="O706" s="7" t="s">
        <v>3300</v>
      </c>
      <c r="Q706" s="2" t="s">
        <v>3301</v>
      </c>
      <c r="R706" s="2">
        <v>55443</v>
      </c>
      <c r="S706" s="2">
        <v>45.071669999999997</v>
      </c>
      <c r="T706" s="2">
        <v>-93.352670000000003</v>
      </c>
      <c r="W706" s="10"/>
      <c r="AC706" s="2" t="s">
        <v>51</v>
      </c>
      <c r="AD706" s="2">
        <f t="shared" ref="AD706:AD769" si="11">YEAR(B706)</f>
        <v>2021</v>
      </c>
    </row>
    <row r="707" spans="1:30" hidden="1">
      <c r="A707" s="42" t="s">
        <v>3227</v>
      </c>
      <c r="B707" s="42">
        <v>44536</v>
      </c>
      <c r="C707" s="2" t="s">
        <v>3302</v>
      </c>
      <c r="D707" s="2" t="s">
        <v>292</v>
      </c>
      <c r="E707" s="2" t="s">
        <v>66</v>
      </c>
      <c r="F707" s="1" t="s">
        <v>34</v>
      </c>
      <c r="G707" s="2" t="s">
        <v>3303</v>
      </c>
      <c r="H707" s="2" t="s">
        <v>131</v>
      </c>
      <c r="I707" s="10"/>
      <c r="J707" s="29"/>
      <c r="M707" s="1" t="s">
        <v>47</v>
      </c>
      <c r="N707" s="2" t="s">
        <v>48</v>
      </c>
      <c r="O707" s="2" t="s">
        <v>3304</v>
      </c>
      <c r="Q707" s="2" t="s">
        <v>3305</v>
      </c>
      <c r="R707" s="2">
        <v>55430</v>
      </c>
      <c r="S707" s="2">
        <v>45.076290999999998</v>
      </c>
      <c r="T707" s="2">
        <v>-93.315753000000001</v>
      </c>
      <c r="U707" s="2" t="s">
        <v>143</v>
      </c>
      <c r="W707" s="10"/>
      <c r="AC707" s="2" t="s">
        <v>51</v>
      </c>
      <c r="AD707" s="2">
        <f t="shared" si="11"/>
        <v>2021</v>
      </c>
    </row>
    <row r="708" spans="1:30" hidden="1">
      <c r="A708" s="42" t="s">
        <v>3227</v>
      </c>
      <c r="B708" s="42">
        <v>44546</v>
      </c>
      <c r="C708" s="2" t="s">
        <v>3306</v>
      </c>
      <c r="D708" s="2" t="s">
        <v>2113</v>
      </c>
      <c r="E708" s="2" t="s">
        <v>99</v>
      </c>
      <c r="F708" s="1" t="s">
        <v>34</v>
      </c>
      <c r="G708" s="2" t="s">
        <v>3307</v>
      </c>
      <c r="I708" s="10"/>
      <c r="J708" s="29"/>
      <c r="M708" s="2" t="s">
        <v>531</v>
      </c>
      <c r="N708" s="2" t="s">
        <v>300</v>
      </c>
      <c r="O708" s="7" t="s">
        <v>3308</v>
      </c>
      <c r="R708" s="2">
        <v>55101</v>
      </c>
      <c r="S708" s="2">
        <v>44.951483000000003</v>
      </c>
      <c r="T708" s="2">
        <v>-93.090648999999999</v>
      </c>
      <c r="U708" s="2" t="s">
        <v>143</v>
      </c>
      <c r="W708" s="10"/>
      <c r="AC708" s="2" t="s">
        <v>51</v>
      </c>
      <c r="AD708" s="2">
        <f t="shared" si="11"/>
        <v>2021</v>
      </c>
    </row>
    <row r="709" spans="1:30" hidden="1">
      <c r="A709" s="42" t="s">
        <v>3227</v>
      </c>
      <c r="B709" s="42">
        <v>44547</v>
      </c>
      <c r="C709" s="2" t="s">
        <v>3309</v>
      </c>
      <c r="D709" s="2" t="s">
        <v>1734</v>
      </c>
      <c r="E709" s="2" t="s">
        <v>1734</v>
      </c>
      <c r="F709" s="1" t="s">
        <v>34</v>
      </c>
      <c r="G709" s="2" t="s">
        <v>3310</v>
      </c>
      <c r="H709" s="2" t="s">
        <v>131</v>
      </c>
      <c r="I709" s="10">
        <v>175000000</v>
      </c>
      <c r="J709" s="5">
        <v>75</v>
      </c>
      <c r="N709" s="2" t="s">
        <v>762</v>
      </c>
      <c r="O709" s="2" t="s">
        <v>3311</v>
      </c>
      <c r="Q709" s="2" t="s">
        <v>3312</v>
      </c>
      <c r="R709" s="2">
        <v>56284</v>
      </c>
      <c r="S709" s="2">
        <v>44.795611999999998</v>
      </c>
      <c r="T709" s="2">
        <v>-95.179220000000001</v>
      </c>
      <c r="U709" s="2" t="s">
        <v>378</v>
      </c>
      <c r="V709" s="2" t="s">
        <v>3313</v>
      </c>
      <c r="W709" s="10">
        <v>200000</v>
      </c>
      <c r="AC709" s="2" t="s">
        <v>41</v>
      </c>
      <c r="AD709" s="2">
        <f t="shared" si="11"/>
        <v>2021</v>
      </c>
    </row>
    <row r="710" spans="1:30" hidden="1">
      <c r="A710" s="42" t="s">
        <v>3227</v>
      </c>
      <c r="B710" s="42">
        <v>44558</v>
      </c>
      <c r="C710" s="2" t="s">
        <v>3314</v>
      </c>
      <c r="D710" s="2" t="s">
        <v>174</v>
      </c>
      <c r="E710" s="2" t="s">
        <v>66</v>
      </c>
      <c r="F710" s="1" t="s">
        <v>34</v>
      </c>
      <c r="G710" s="2" t="s">
        <v>3315</v>
      </c>
      <c r="H710" s="2" t="s">
        <v>1359</v>
      </c>
      <c r="I710" s="10"/>
      <c r="J710" s="29">
        <v>18</v>
      </c>
      <c r="M710" s="2" t="s">
        <v>159</v>
      </c>
      <c r="N710" s="2" t="s">
        <v>86</v>
      </c>
      <c r="O710" s="7" t="s">
        <v>3316</v>
      </c>
      <c r="Q710" s="2" t="s">
        <v>3317</v>
      </c>
      <c r="R710" s="2">
        <v>55428</v>
      </c>
      <c r="S710" s="2">
        <v>45.092253999999997</v>
      </c>
      <c r="T710" s="2">
        <v>-93.398638000000005</v>
      </c>
      <c r="W710" s="10"/>
      <c r="AC710" s="2" t="s">
        <v>51</v>
      </c>
      <c r="AD710" s="2">
        <f t="shared" si="11"/>
        <v>2021</v>
      </c>
    </row>
    <row r="711" spans="1:30" hidden="1">
      <c r="A711" s="42" t="s">
        <v>3227</v>
      </c>
      <c r="B711" s="42">
        <v>44559</v>
      </c>
      <c r="C711" s="2" t="s">
        <v>2287</v>
      </c>
      <c r="D711" s="2" t="s">
        <v>1007</v>
      </c>
      <c r="E711" s="2" t="s">
        <v>677</v>
      </c>
      <c r="F711" s="1" t="s">
        <v>34</v>
      </c>
      <c r="G711" s="2" t="s">
        <v>3318</v>
      </c>
      <c r="H711" s="2" t="s">
        <v>1024</v>
      </c>
      <c r="I711" s="10"/>
      <c r="J711" s="29"/>
      <c r="L711" s="5">
        <v>100000</v>
      </c>
      <c r="M711" s="2" t="s">
        <v>2677</v>
      </c>
      <c r="N711" s="2" t="s">
        <v>48</v>
      </c>
      <c r="O711" s="2" t="s">
        <v>3319</v>
      </c>
      <c r="Q711" s="2" t="s">
        <v>3320</v>
      </c>
      <c r="R711" s="2">
        <v>55449</v>
      </c>
      <c r="S711" s="2">
        <v>45.122703000000001</v>
      </c>
      <c r="T711" s="2">
        <v>-93.191467000000003</v>
      </c>
      <c r="W711" s="10"/>
      <c r="AC711" s="2" t="s">
        <v>51</v>
      </c>
      <c r="AD711" s="2">
        <f t="shared" si="11"/>
        <v>2021</v>
      </c>
    </row>
    <row r="712" spans="1:30" hidden="1">
      <c r="A712" s="42" t="s">
        <v>3227</v>
      </c>
      <c r="B712" s="42">
        <v>44559</v>
      </c>
      <c r="C712" s="2" t="s">
        <v>3321</v>
      </c>
      <c r="D712" s="2" t="s">
        <v>528</v>
      </c>
      <c r="E712" s="2" t="s">
        <v>66</v>
      </c>
      <c r="F712" s="1" t="s">
        <v>34</v>
      </c>
      <c r="G712" s="2" t="s">
        <v>3322</v>
      </c>
      <c r="H712" s="2" t="s">
        <v>2079</v>
      </c>
      <c r="I712" s="10">
        <v>2545230</v>
      </c>
      <c r="J712" s="29"/>
      <c r="M712" s="2" t="s">
        <v>417</v>
      </c>
      <c r="N712" s="2" t="s">
        <v>48</v>
      </c>
      <c r="O712" s="7" t="s">
        <v>3323</v>
      </c>
      <c r="Q712" s="2" t="s">
        <v>3324</v>
      </c>
      <c r="R712" s="2">
        <v>55420</v>
      </c>
      <c r="S712" s="2">
        <v>44.842655000000001</v>
      </c>
      <c r="T712" s="2">
        <v>-93.284991000000005</v>
      </c>
      <c r="W712" s="11"/>
      <c r="AC712" s="2" t="s">
        <v>51</v>
      </c>
      <c r="AD712" s="2">
        <f t="shared" si="11"/>
        <v>2021</v>
      </c>
    </row>
    <row r="713" spans="1:30" hidden="1">
      <c r="A713" s="42" t="s">
        <v>3227</v>
      </c>
      <c r="B713" s="42">
        <v>44561</v>
      </c>
      <c r="C713" s="2" t="s">
        <v>3325</v>
      </c>
      <c r="D713" s="2" t="s">
        <v>546</v>
      </c>
      <c r="E713" s="2" t="s">
        <v>74</v>
      </c>
      <c r="F713" s="1" t="s">
        <v>34</v>
      </c>
      <c r="G713" s="2" t="s">
        <v>3326</v>
      </c>
      <c r="H713" s="2" t="s">
        <v>3231</v>
      </c>
      <c r="I713" s="10">
        <v>11000000</v>
      </c>
      <c r="J713" s="29"/>
      <c r="L713" s="5">
        <f>31360+9408+13824</f>
        <v>54592</v>
      </c>
      <c r="N713" s="2" t="s">
        <v>77</v>
      </c>
      <c r="O713" s="7" t="s">
        <v>3327</v>
      </c>
      <c r="Q713" s="157" t="s">
        <v>3328</v>
      </c>
      <c r="R713" s="2">
        <v>55044</v>
      </c>
      <c r="S713" s="2">
        <v>44.631345000000003</v>
      </c>
      <c r="T713" s="2">
        <v>-93.254774999999995</v>
      </c>
      <c r="W713" s="10"/>
      <c r="AC713" s="2" t="s">
        <v>51</v>
      </c>
      <c r="AD713" s="2">
        <f t="shared" si="11"/>
        <v>2021</v>
      </c>
    </row>
    <row r="714" spans="1:30" hidden="1">
      <c r="A714" s="42" t="s">
        <v>3227</v>
      </c>
      <c r="B714" s="93">
        <v>44561</v>
      </c>
      <c r="C714" s="2" t="s">
        <v>3329</v>
      </c>
      <c r="D714" s="2" t="s">
        <v>1501</v>
      </c>
      <c r="E714" s="2" t="s">
        <v>677</v>
      </c>
      <c r="F714" s="1" t="s">
        <v>34</v>
      </c>
      <c r="G714" s="46" t="s">
        <v>3330</v>
      </c>
      <c r="I714" s="10">
        <v>2500000</v>
      </c>
      <c r="M714" s="2" t="s">
        <v>450</v>
      </c>
      <c r="N714" s="2" t="s">
        <v>48</v>
      </c>
      <c r="O714" s="7" t="s">
        <v>3331</v>
      </c>
      <c r="P714" s="2" t="s">
        <v>2269</v>
      </c>
      <c r="Q714" s="2" t="s">
        <v>3332</v>
      </c>
      <c r="R714" s="2">
        <v>55433</v>
      </c>
      <c r="S714" s="2">
        <v>45.130521999999999</v>
      </c>
      <c r="T714" s="2">
        <v>-93.274870000000007</v>
      </c>
      <c r="V714" s="47"/>
      <c r="W714" s="29"/>
      <c r="AC714" s="2" t="s">
        <v>51</v>
      </c>
      <c r="AD714" s="2">
        <f t="shared" si="11"/>
        <v>2021</v>
      </c>
    </row>
    <row r="715" spans="1:30" hidden="1">
      <c r="A715" s="42" t="s">
        <v>3333</v>
      </c>
      <c r="B715" s="42">
        <v>44571</v>
      </c>
      <c r="C715" s="2" t="s">
        <v>3334</v>
      </c>
      <c r="D715" s="46" t="s">
        <v>203</v>
      </c>
      <c r="E715" s="2" t="s">
        <v>74</v>
      </c>
      <c r="F715" s="1" t="s">
        <v>34</v>
      </c>
      <c r="G715" s="2" t="s">
        <v>3335</v>
      </c>
      <c r="H715" s="2" t="s">
        <v>131</v>
      </c>
      <c r="I715" s="11">
        <v>7500000</v>
      </c>
      <c r="L715" s="5">
        <v>42450</v>
      </c>
      <c r="N715" s="2" t="s">
        <v>253</v>
      </c>
      <c r="O715" s="2" t="s">
        <v>3336</v>
      </c>
      <c r="P715" s="2" t="s">
        <v>647</v>
      </c>
      <c r="Q715" s="2" t="s">
        <v>3337</v>
      </c>
      <c r="R715" s="2">
        <v>55121</v>
      </c>
      <c r="S715" s="2">
        <v>44.851018000000003</v>
      </c>
      <c r="T715" s="2">
        <v>-93.153662999999995</v>
      </c>
      <c r="AC715" s="2" t="s">
        <v>51</v>
      </c>
      <c r="AD715" s="2">
        <f t="shared" si="11"/>
        <v>2022</v>
      </c>
    </row>
    <row r="716" spans="1:30" hidden="1">
      <c r="A716" s="42" t="s">
        <v>3333</v>
      </c>
      <c r="B716" s="42">
        <v>44573</v>
      </c>
      <c r="C716" s="2" t="s">
        <v>3338</v>
      </c>
      <c r="D716" s="46" t="s">
        <v>1741</v>
      </c>
      <c r="E716" s="2" t="s">
        <v>1253</v>
      </c>
      <c r="F716" s="1" t="s">
        <v>34</v>
      </c>
      <c r="G716" s="2" t="s">
        <v>3339</v>
      </c>
      <c r="H716" s="2" t="s">
        <v>131</v>
      </c>
      <c r="I716" s="11">
        <v>37000000</v>
      </c>
      <c r="J716" s="5">
        <f>25+50</f>
        <v>75</v>
      </c>
      <c r="L716" s="5">
        <v>212700</v>
      </c>
      <c r="M716" s="2" t="s">
        <v>93</v>
      </c>
      <c r="N716" s="2" t="s">
        <v>48</v>
      </c>
      <c r="O716" s="2" t="s">
        <v>3340</v>
      </c>
      <c r="P716" s="2" t="s">
        <v>2734</v>
      </c>
      <c r="Q716" s="2" t="s">
        <v>3341</v>
      </c>
      <c r="R716" s="2">
        <v>55060</v>
      </c>
      <c r="S716" s="2">
        <v>44.091718</v>
      </c>
      <c r="T716" s="2">
        <v>-93.256158999999997</v>
      </c>
      <c r="AC716" s="2" t="s">
        <v>120</v>
      </c>
      <c r="AD716" s="2">
        <f t="shared" si="11"/>
        <v>2022</v>
      </c>
    </row>
    <row r="717" spans="1:30" hidden="1">
      <c r="A717" s="42" t="s">
        <v>3333</v>
      </c>
      <c r="B717" s="42">
        <v>44574</v>
      </c>
      <c r="C717" s="2" t="s">
        <v>72</v>
      </c>
      <c r="D717" s="46" t="s">
        <v>32</v>
      </c>
      <c r="E717" s="2" t="s">
        <v>33</v>
      </c>
      <c r="F717" s="1" t="s">
        <v>34</v>
      </c>
      <c r="G717" s="2" t="s">
        <v>3342</v>
      </c>
      <c r="H717" s="2" t="s">
        <v>2214</v>
      </c>
      <c r="I717" s="11">
        <v>50000000</v>
      </c>
      <c r="J717" s="5">
        <v>100</v>
      </c>
      <c r="L717" s="5">
        <v>217000</v>
      </c>
      <c r="N717" s="2" t="s">
        <v>77</v>
      </c>
      <c r="O717" s="2" t="s">
        <v>3343</v>
      </c>
      <c r="P717" s="2" t="s">
        <v>1652</v>
      </c>
      <c r="R717" s="2">
        <v>56201</v>
      </c>
      <c r="S717" s="2">
        <v>45.147103999999999</v>
      </c>
      <c r="T717" s="2">
        <v>-94.977722999999997</v>
      </c>
      <c r="AC717" s="2" t="s">
        <v>41</v>
      </c>
      <c r="AD717" s="2">
        <f t="shared" si="11"/>
        <v>2022</v>
      </c>
    </row>
    <row r="718" spans="1:30" hidden="1">
      <c r="A718" s="42" t="s">
        <v>3333</v>
      </c>
      <c r="B718" s="42">
        <v>44574</v>
      </c>
      <c r="C718" s="2" t="s">
        <v>3344</v>
      </c>
      <c r="D718" s="46" t="s">
        <v>2113</v>
      </c>
      <c r="E718" s="2" t="s">
        <v>99</v>
      </c>
      <c r="F718" s="1" t="s">
        <v>34</v>
      </c>
      <c r="G718" s="2" t="s">
        <v>3345</v>
      </c>
      <c r="H718" s="2" t="s">
        <v>2214</v>
      </c>
      <c r="I718" s="11"/>
      <c r="J718" s="5">
        <v>70</v>
      </c>
      <c r="K718" s="2">
        <v>52</v>
      </c>
      <c r="L718" s="5">
        <v>71000</v>
      </c>
      <c r="N718" s="2" t="s">
        <v>77</v>
      </c>
      <c r="O718" s="2" t="s">
        <v>3346</v>
      </c>
      <c r="P718" s="2" t="s">
        <v>285</v>
      </c>
      <c r="Q718" s="2" t="s">
        <v>3347</v>
      </c>
      <c r="R718" s="2">
        <v>55117</v>
      </c>
      <c r="S718" s="2">
        <v>44.983800000000002</v>
      </c>
      <c r="T718" s="2">
        <v>-93.091909999999999</v>
      </c>
      <c r="AC718" s="2" t="s">
        <v>51</v>
      </c>
      <c r="AD718" s="2">
        <f t="shared" si="11"/>
        <v>2022</v>
      </c>
    </row>
    <row r="719" spans="1:30" hidden="1">
      <c r="A719" s="42" t="s">
        <v>3333</v>
      </c>
      <c r="B719" s="42">
        <v>44575</v>
      </c>
      <c r="C719" s="1" t="s">
        <v>3348</v>
      </c>
      <c r="D719" s="1" t="s">
        <v>270</v>
      </c>
      <c r="E719" s="2" t="s">
        <v>99</v>
      </c>
      <c r="F719" s="1" t="s">
        <v>34</v>
      </c>
      <c r="G719" s="46" t="s">
        <v>3349</v>
      </c>
      <c r="H719" s="76" t="s">
        <v>3350</v>
      </c>
      <c r="I719" s="10">
        <v>13900000</v>
      </c>
      <c r="J719" s="29">
        <v>40</v>
      </c>
      <c r="M719" s="2" t="s">
        <v>167</v>
      </c>
      <c r="N719" s="2" t="s">
        <v>48</v>
      </c>
      <c r="O719" s="7" t="s">
        <v>3351</v>
      </c>
      <c r="P719" s="2" t="s">
        <v>658</v>
      </c>
      <c r="Q719" s="2" t="s">
        <v>3352</v>
      </c>
      <c r="R719" s="2">
        <v>55112</v>
      </c>
      <c r="S719" s="2">
        <v>45.058157000000001</v>
      </c>
      <c r="T719" s="2">
        <v>-93.154708999999997</v>
      </c>
      <c r="U719" s="2" t="s">
        <v>378</v>
      </c>
      <c r="V719" s="47" t="s">
        <v>1306</v>
      </c>
      <c r="W719" s="76">
        <v>400000</v>
      </c>
      <c r="AC719" s="2" t="s">
        <v>51</v>
      </c>
      <c r="AD719" s="2">
        <f t="shared" si="11"/>
        <v>2022</v>
      </c>
    </row>
    <row r="720" spans="1:30" hidden="1">
      <c r="A720" s="42" t="s">
        <v>3333</v>
      </c>
      <c r="B720" s="42">
        <v>44581</v>
      </c>
      <c r="C720" s="2" t="s">
        <v>3353</v>
      </c>
      <c r="D720" s="46" t="s">
        <v>174</v>
      </c>
      <c r="E720" s="2" t="s">
        <v>66</v>
      </c>
      <c r="F720" s="1" t="s">
        <v>34</v>
      </c>
      <c r="G720" s="2" t="s">
        <v>3354</v>
      </c>
      <c r="H720" s="2" t="s">
        <v>131</v>
      </c>
      <c r="I720" s="11">
        <v>18270000</v>
      </c>
      <c r="L720" s="5">
        <v>322769</v>
      </c>
      <c r="M720" s="2" t="s">
        <v>450</v>
      </c>
      <c r="N720" s="2" t="s">
        <v>48</v>
      </c>
      <c r="O720" s="2" t="s">
        <v>3355</v>
      </c>
      <c r="P720" s="2" t="s">
        <v>647</v>
      </c>
      <c r="Q720" s="2" t="s">
        <v>3356</v>
      </c>
      <c r="R720" s="2">
        <v>55428</v>
      </c>
      <c r="S720" s="2">
        <v>45.089779</v>
      </c>
      <c r="T720" s="2">
        <v>-93.393782000000002</v>
      </c>
      <c r="AC720" s="2" t="s">
        <v>51</v>
      </c>
      <c r="AD720" s="2">
        <f t="shared" si="11"/>
        <v>2022</v>
      </c>
    </row>
    <row r="721" spans="1:30" hidden="1">
      <c r="A721" s="42" t="s">
        <v>3333</v>
      </c>
      <c r="B721" s="42">
        <v>44582</v>
      </c>
      <c r="C721" s="1" t="s">
        <v>3357</v>
      </c>
      <c r="D721" s="1" t="s">
        <v>3358</v>
      </c>
      <c r="E721" s="2" t="s">
        <v>66</v>
      </c>
      <c r="F721" s="1" t="s">
        <v>34</v>
      </c>
      <c r="G721" s="46" t="s">
        <v>3359</v>
      </c>
      <c r="H721" s="76" t="s">
        <v>3360</v>
      </c>
      <c r="I721" s="10">
        <v>14500000</v>
      </c>
      <c r="J721" s="29">
        <v>50</v>
      </c>
      <c r="L721" s="5">
        <v>100000</v>
      </c>
      <c r="M721" s="2" t="s">
        <v>684</v>
      </c>
      <c r="N721" s="2" t="s">
        <v>48</v>
      </c>
      <c r="O721" s="7" t="s">
        <v>3361</v>
      </c>
      <c r="P721" s="2" t="s">
        <v>3362</v>
      </c>
      <c r="Q721" s="2" t="s">
        <v>3363</v>
      </c>
      <c r="R721" s="2">
        <v>55343</v>
      </c>
      <c r="S721" s="2">
        <v>44.915753000000002</v>
      </c>
      <c r="T721" s="2">
        <v>-93.414998999999995</v>
      </c>
      <c r="U721" s="2" t="s">
        <v>378</v>
      </c>
      <c r="V721" s="47" t="s">
        <v>1306</v>
      </c>
      <c r="W721" s="76">
        <v>617000</v>
      </c>
      <c r="AC721" s="2" t="s">
        <v>51</v>
      </c>
      <c r="AD721" s="2">
        <f t="shared" si="11"/>
        <v>2022</v>
      </c>
    </row>
    <row r="722" spans="1:30" hidden="1">
      <c r="A722" s="42" t="s">
        <v>3333</v>
      </c>
      <c r="B722" s="42">
        <v>44584</v>
      </c>
      <c r="C722" s="2" t="s">
        <v>3364</v>
      </c>
      <c r="D722" s="46" t="s">
        <v>65</v>
      </c>
      <c r="E722" s="2" t="s">
        <v>66</v>
      </c>
      <c r="F722" s="1" t="s">
        <v>34</v>
      </c>
      <c r="G722" s="2" t="s">
        <v>3365</v>
      </c>
      <c r="H722" s="2" t="s">
        <v>131</v>
      </c>
      <c r="I722" s="11">
        <v>4000000</v>
      </c>
      <c r="M722" s="2" t="s">
        <v>2147</v>
      </c>
      <c r="N722" s="2" t="s">
        <v>48</v>
      </c>
      <c r="O722" s="2" t="s">
        <v>3366</v>
      </c>
      <c r="P722" s="2" t="s">
        <v>285</v>
      </c>
      <c r="Q722" s="2" t="s">
        <v>3367</v>
      </c>
      <c r="R722" s="2">
        <v>55412</v>
      </c>
      <c r="S722" s="2">
        <v>45.038181000000002</v>
      </c>
      <c r="T722" s="2">
        <v>-93.286517000000003</v>
      </c>
      <c r="AC722" s="2" t="s">
        <v>51</v>
      </c>
      <c r="AD722" s="2">
        <f t="shared" si="11"/>
        <v>2022</v>
      </c>
    </row>
    <row r="723" spans="1:30" hidden="1">
      <c r="A723" s="42" t="s">
        <v>3333</v>
      </c>
      <c r="B723" s="42">
        <v>44585</v>
      </c>
      <c r="C723" s="2" t="s">
        <v>1723</v>
      </c>
      <c r="D723" s="46" t="s">
        <v>65</v>
      </c>
      <c r="E723" s="2" t="s">
        <v>66</v>
      </c>
      <c r="F723" s="1" t="s">
        <v>34</v>
      </c>
      <c r="G723" s="2" t="s">
        <v>3368</v>
      </c>
      <c r="I723" s="11"/>
      <c r="M723" s="2" t="s">
        <v>103</v>
      </c>
      <c r="N723" s="2" t="s">
        <v>86</v>
      </c>
      <c r="O723" s="2" t="s">
        <v>3369</v>
      </c>
      <c r="P723" s="2" t="s">
        <v>965</v>
      </c>
      <c r="Q723" s="2" t="s">
        <v>3001</v>
      </c>
      <c r="R723" s="2">
        <v>55414</v>
      </c>
      <c r="S723" s="2">
        <v>44.988236999999998</v>
      </c>
      <c r="T723" s="2">
        <v>-93.256198999999995</v>
      </c>
      <c r="U723" s="2" t="s">
        <v>143</v>
      </c>
      <c r="AC723" s="2" t="s">
        <v>51</v>
      </c>
      <c r="AD723" s="2">
        <f t="shared" si="11"/>
        <v>2022</v>
      </c>
    </row>
    <row r="724" spans="1:30" hidden="1">
      <c r="A724" s="42" t="s">
        <v>3333</v>
      </c>
      <c r="B724" s="42">
        <v>44592</v>
      </c>
      <c r="C724" s="2" t="s">
        <v>639</v>
      </c>
      <c r="D724" s="46" t="s">
        <v>65</v>
      </c>
      <c r="E724" s="2" t="s">
        <v>66</v>
      </c>
      <c r="F724" s="1" t="s">
        <v>34</v>
      </c>
      <c r="G724" s="2" t="s">
        <v>3370</v>
      </c>
      <c r="I724" s="11"/>
      <c r="M724" s="2" t="s">
        <v>531</v>
      </c>
      <c r="N724" s="2" t="s">
        <v>300</v>
      </c>
      <c r="O724" s="7" t="s">
        <v>3371</v>
      </c>
      <c r="P724" s="2" t="s">
        <v>965</v>
      </c>
      <c r="Q724" s="2" t="s">
        <v>3372</v>
      </c>
      <c r="R724" s="2">
        <v>55402</v>
      </c>
      <c r="S724" s="2">
        <v>44.973908000000002</v>
      </c>
      <c r="T724" s="2">
        <v>-93.272418999999999</v>
      </c>
      <c r="AC724" s="2" t="s">
        <v>51</v>
      </c>
      <c r="AD724" s="2">
        <f t="shared" si="11"/>
        <v>2022</v>
      </c>
    </row>
    <row r="725" spans="1:30" hidden="1">
      <c r="A725" s="42" t="s">
        <v>3333</v>
      </c>
      <c r="B725" s="42">
        <v>44593</v>
      </c>
      <c r="C725" s="2" t="s">
        <v>3373</v>
      </c>
      <c r="D725" s="46" t="s">
        <v>728</v>
      </c>
      <c r="E725" s="2" t="s">
        <v>395</v>
      </c>
      <c r="F725" s="1" t="s">
        <v>34</v>
      </c>
      <c r="G725" s="2" t="s">
        <v>3374</v>
      </c>
      <c r="H725" s="2" t="s">
        <v>1024</v>
      </c>
      <c r="I725" s="11"/>
      <c r="L725" s="5">
        <v>80000</v>
      </c>
      <c r="M725" s="1" t="s">
        <v>47</v>
      </c>
      <c r="N725" s="2" t="s">
        <v>48</v>
      </c>
      <c r="O725" s="7" t="s">
        <v>3375</v>
      </c>
      <c r="P725" s="2" t="s">
        <v>647</v>
      </c>
      <c r="Q725" s="2" t="s">
        <v>3376</v>
      </c>
      <c r="R725" s="2">
        <v>55330</v>
      </c>
      <c r="S725" s="2">
        <v>45.304661000000003</v>
      </c>
      <c r="T725" s="2">
        <v>-93.611481999999995</v>
      </c>
      <c r="AC725" s="2" t="s">
        <v>41</v>
      </c>
      <c r="AD725" s="2">
        <f t="shared" si="11"/>
        <v>2022</v>
      </c>
    </row>
    <row r="726" spans="1:30" hidden="1">
      <c r="A726" s="42" t="s">
        <v>3333</v>
      </c>
      <c r="B726" s="42">
        <v>44593</v>
      </c>
      <c r="C726" s="2" t="s">
        <v>3377</v>
      </c>
      <c r="D726" s="46" t="s">
        <v>65</v>
      </c>
      <c r="E726" s="2" t="s">
        <v>66</v>
      </c>
      <c r="F726" s="1" t="s">
        <v>34</v>
      </c>
      <c r="G726" s="2" t="s">
        <v>3378</v>
      </c>
      <c r="H726" s="2" t="s">
        <v>2079</v>
      </c>
      <c r="I726" s="11"/>
      <c r="L726" s="5">
        <f>20000-11300</f>
        <v>8700</v>
      </c>
      <c r="M726" s="2" t="s">
        <v>3379</v>
      </c>
      <c r="N726" s="2" t="s">
        <v>86</v>
      </c>
      <c r="O726" s="7" t="s">
        <v>3380</v>
      </c>
      <c r="P726" s="2" t="s">
        <v>965</v>
      </c>
      <c r="Q726" s="2" t="s">
        <v>3381</v>
      </c>
      <c r="R726" s="2">
        <v>55401</v>
      </c>
      <c r="S726" s="2">
        <v>44.984710999999997</v>
      </c>
      <c r="T726" s="2">
        <v>-93.271122000000005</v>
      </c>
      <c r="AC726" s="2" t="s">
        <v>51</v>
      </c>
      <c r="AD726" s="2">
        <f t="shared" si="11"/>
        <v>2022</v>
      </c>
    </row>
    <row r="727" spans="1:30" hidden="1">
      <c r="A727" s="42" t="s">
        <v>3333</v>
      </c>
      <c r="B727" s="93">
        <v>44596</v>
      </c>
      <c r="C727" s="83" t="s">
        <v>3382</v>
      </c>
      <c r="D727" s="83" t="s">
        <v>776</v>
      </c>
      <c r="E727" s="2" t="s">
        <v>66</v>
      </c>
      <c r="F727" s="1" t="s">
        <v>34</v>
      </c>
      <c r="G727" s="46" t="s">
        <v>3383</v>
      </c>
      <c r="I727" s="11"/>
      <c r="M727" s="2" t="s">
        <v>531</v>
      </c>
      <c r="N727" s="2" t="s">
        <v>300</v>
      </c>
      <c r="O727" s="2" t="s">
        <v>3384</v>
      </c>
      <c r="P727" s="2" t="s">
        <v>1327</v>
      </c>
      <c r="Q727" s="2" t="s">
        <v>3385</v>
      </c>
      <c r="R727" s="2">
        <v>55435</v>
      </c>
      <c r="S727" s="2">
        <v>44.863930000000003</v>
      </c>
      <c r="T727" s="2">
        <v>-93.340879999999999</v>
      </c>
      <c r="W727" s="11"/>
      <c r="AC727" s="2" t="s">
        <v>51</v>
      </c>
      <c r="AD727" s="2">
        <f t="shared" si="11"/>
        <v>2022</v>
      </c>
    </row>
    <row r="728" spans="1:30" hidden="1">
      <c r="A728" s="42" t="s">
        <v>3333</v>
      </c>
      <c r="B728" s="42">
        <v>44599</v>
      </c>
      <c r="C728" s="2" t="s">
        <v>3386</v>
      </c>
      <c r="D728" s="46" t="s">
        <v>3387</v>
      </c>
      <c r="E728" s="2" t="s">
        <v>3388</v>
      </c>
      <c r="F728" s="1" t="s">
        <v>34</v>
      </c>
      <c r="G728" s="2" t="s">
        <v>3389</v>
      </c>
      <c r="I728" s="11">
        <v>1273275</v>
      </c>
      <c r="J728" s="5">
        <v>19</v>
      </c>
      <c r="M728" s="2" t="s">
        <v>93</v>
      </c>
      <c r="N728" s="2" t="s">
        <v>48</v>
      </c>
      <c r="O728" s="2" t="s">
        <v>3390</v>
      </c>
      <c r="P728" s="2" t="s">
        <v>658</v>
      </c>
      <c r="R728" s="2">
        <v>55709</v>
      </c>
      <c r="S728" s="2">
        <v>47.347268999999997</v>
      </c>
      <c r="T728" s="2">
        <v>-93.388825999999995</v>
      </c>
      <c r="U728" s="2" t="s">
        <v>378</v>
      </c>
      <c r="V728" s="2" t="s">
        <v>3391</v>
      </c>
      <c r="W728" s="95">
        <v>984548</v>
      </c>
      <c r="AC728" s="2" t="s">
        <v>97</v>
      </c>
      <c r="AD728" s="2">
        <f t="shared" si="11"/>
        <v>2022</v>
      </c>
    </row>
    <row r="729" spans="1:30" hidden="1">
      <c r="A729" s="42" t="s">
        <v>3333</v>
      </c>
      <c r="B729" s="42">
        <v>44599</v>
      </c>
      <c r="C729" s="2" t="s">
        <v>3392</v>
      </c>
      <c r="D729" s="46" t="s">
        <v>3387</v>
      </c>
      <c r="E729" s="2" t="s">
        <v>3388</v>
      </c>
      <c r="F729" s="1" t="s">
        <v>34</v>
      </c>
      <c r="G729" s="2" t="s">
        <v>3393</v>
      </c>
      <c r="H729" s="2" t="s">
        <v>131</v>
      </c>
      <c r="I729" s="11">
        <v>761400</v>
      </c>
      <c r="J729" s="5">
        <v>26</v>
      </c>
      <c r="M729" s="2" t="s">
        <v>3394</v>
      </c>
      <c r="N729" s="2" t="s">
        <v>48</v>
      </c>
      <c r="O729" s="2" t="s">
        <v>3390</v>
      </c>
      <c r="P729" s="2" t="s">
        <v>658</v>
      </c>
      <c r="Q729" s="2" t="s">
        <v>3395</v>
      </c>
      <c r="R729" s="2">
        <v>55744</v>
      </c>
      <c r="S729" s="2">
        <v>47.226863999999999</v>
      </c>
      <c r="T729" s="2">
        <v>-93.525940000000006</v>
      </c>
      <c r="U729" s="2" t="s">
        <v>378</v>
      </c>
      <c r="V729" s="2" t="s">
        <v>3391</v>
      </c>
      <c r="W729" s="95">
        <v>984548</v>
      </c>
      <c r="AC729" s="2" t="s">
        <v>97</v>
      </c>
      <c r="AD729" s="2">
        <f t="shared" si="11"/>
        <v>2022</v>
      </c>
    </row>
    <row r="730" spans="1:30" hidden="1">
      <c r="A730" s="42" t="s">
        <v>3333</v>
      </c>
      <c r="B730" s="42">
        <v>44599</v>
      </c>
      <c r="C730" s="2" t="s">
        <v>3396</v>
      </c>
      <c r="D730" s="46" t="s">
        <v>3397</v>
      </c>
      <c r="E730" s="2" t="s">
        <v>3388</v>
      </c>
      <c r="F730" s="1" t="s">
        <v>34</v>
      </c>
      <c r="G730" s="2" t="s">
        <v>3398</v>
      </c>
      <c r="H730" s="2" t="s">
        <v>131</v>
      </c>
      <c r="I730" s="11">
        <v>134000000</v>
      </c>
      <c r="J730" s="5">
        <v>45</v>
      </c>
      <c r="M730" s="2" t="s">
        <v>496</v>
      </c>
      <c r="N730" s="2" t="s">
        <v>48</v>
      </c>
      <c r="O730" s="7" t="s">
        <v>3399</v>
      </c>
      <c r="P730" s="2" t="s">
        <v>3400</v>
      </c>
      <c r="R730" s="2">
        <v>55730</v>
      </c>
      <c r="S730" s="2">
        <v>47.239730000000002</v>
      </c>
      <c r="T730" s="2">
        <v>-93.53004</v>
      </c>
      <c r="U730" s="2" t="s">
        <v>378</v>
      </c>
      <c r="V730" s="2" t="s">
        <v>3401</v>
      </c>
      <c r="W730" s="2">
        <v>500000</v>
      </c>
      <c r="AC730" s="2" t="s">
        <v>97</v>
      </c>
      <c r="AD730" s="2">
        <f t="shared" si="11"/>
        <v>2022</v>
      </c>
    </row>
    <row r="731" spans="1:30" hidden="1">
      <c r="A731" s="42" t="s">
        <v>3333</v>
      </c>
      <c r="B731" s="42">
        <v>44599</v>
      </c>
      <c r="C731" s="2" t="s">
        <v>2256</v>
      </c>
      <c r="D731" s="46" t="s">
        <v>528</v>
      </c>
      <c r="E731" s="2" t="s">
        <v>66</v>
      </c>
      <c r="F731" s="1" t="s">
        <v>34</v>
      </c>
      <c r="G731" s="2" t="s">
        <v>3402</v>
      </c>
      <c r="H731" s="2" t="s">
        <v>131</v>
      </c>
      <c r="I731" s="11">
        <v>73553011</v>
      </c>
      <c r="J731" s="5">
        <v>45</v>
      </c>
      <c r="L731" s="5">
        <v>81000</v>
      </c>
      <c r="M731" s="2" t="s">
        <v>450</v>
      </c>
      <c r="N731" s="2" t="s">
        <v>48</v>
      </c>
      <c r="O731" s="7" t="s">
        <v>3403</v>
      </c>
      <c r="P731" s="2" t="s">
        <v>965</v>
      </c>
      <c r="Q731" s="2" t="s">
        <v>3404</v>
      </c>
      <c r="R731" s="2">
        <v>55435</v>
      </c>
      <c r="S731" s="2">
        <v>44.862687000000001</v>
      </c>
      <c r="T731" s="2">
        <v>-93.345510000000004</v>
      </c>
      <c r="AC731" s="2" t="s">
        <v>51</v>
      </c>
      <c r="AD731" s="2">
        <f t="shared" si="11"/>
        <v>2022</v>
      </c>
    </row>
    <row r="732" spans="1:30" hidden="1">
      <c r="A732" s="42" t="s">
        <v>3333</v>
      </c>
      <c r="B732" s="42">
        <v>44600</v>
      </c>
      <c r="C732" s="2" t="s">
        <v>3405</v>
      </c>
      <c r="D732" s="46" t="s">
        <v>292</v>
      </c>
      <c r="E732" s="2" t="s">
        <v>66</v>
      </c>
      <c r="F732" s="1" t="s">
        <v>34</v>
      </c>
      <c r="G732" s="2" t="s">
        <v>3406</v>
      </c>
      <c r="H732" s="2" t="s">
        <v>3407</v>
      </c>
      <c r="I732" s="11"/>
      <c r="L732" s="5">
        <v>28000</v>
      </c>
      <c r="M732" s="2" t="s">
        <v>2147</v>
      </c>
      <c r="N732" s="2" t="s">
        <v>48</v>
      </c>
      <c r="O732" s="7" t="s">
        <v>3408</v>
      </c>
      <c r="P732" s="2" t="s">
        <v>965</v>
      </c>
      <c r="Q732" s="2" t="s">
        <v>3409</v>
      </c>
      <c r="R732" s="2">
        <v>55429</v>
      </c>
      <c r="S732" s="2">
        <v>45.043011999999997</v>
      </c>
      <c r="T732" s="2">
        <v>-93.332526999999999</v>
      </c>
      <c r="AC732" s="2" t="s">
        <v>51</v>
      </c>
      <c r="AD732" s="2">
        <f t="shared" si="11"/>
        <v>2022</v>
      </c>
    </row>
    <row r="733" spans="1:30" hidden="1">
      <c r="A733" s="42" t="s">
        <v>3333</v>
      </c>
      <c r="B733" s="93">
        <v>44606</v>
      </c>
      <c r="C733" s="2" t="s">
        <v>1012</v>
      </c>
      <c r="D733" s="2" t="s">
        <v>219</v>
      </c>
      <c r="E733" s="2" t="s">
        <v>44</v>
      </c>
      <c r="F733" s="1" t="s">
        <v>34</v>
      </c>
      <c r="G733" s="46" t="s">
        <v>3410</v>
      </c>
      <c r="I733" s="10">
        <v>165000000</v>
      </c>
      <c r="N733" s="2" t="s">
        <v>48</v>
      </c>
      <c r="O733" s="7" t="s">
        <v>3411</v>
      </c>
      <c r="P733" s="2" t="s">
        <v>285</v>
      </c>
      <c r="Q733" s="2" t="s">
        <v>3412</v>
      </c>
      <c r="R733" s="2">
        <v>55016</v>
      </c>
      <c r="S733" s="2">
        <v>44.843822000000003</v>
      </c>
      <c r="T733" s="2">
        <v>-92.903564000000003</v>
      </c>
      <c r="V733" s="47"/>
      <c r="W733" s="29"/>
      <c r="AC733" s="2" t="s">
        <v>51</v>
      </c>
      <c r="AD733" s="2">
        <f t="shared" si="11"/>
        <v>2022</v>
      </c>
    </row>
    <row r="734" spans="1:30" hidden="1">
      <c r="A734" s="2" t="s">
        <v>3333</v>
      </c>
      <c r="B734" s="3">
        <v>44607</v>
      </c>
      <c r="C734" s="96" t="s">
        <v>3413</v>
      </c>
      <c r="D734" s="2" t="s">
        <v>1501</v>
      </c>
      <c r="E734" s="2" t="s">
        <v>677</v>
      </c>
      <c r="F734" s="1" t="s">
        <v>34</v>
      </c>
      <c r="G734" s="2" t="s">
        <v>3414</v>
      </c>
      <c r="H734" s="2" t="s">
        <v>2214</v>
      </c>
      <c r="I734" s="33">
        <v>6994900</v>
      </c>
      <c r="J734" s="33"/>
      <c r="L734" s="5">
        <v>101404</v>
      </c>
      <c r="M734" s="2" t="s">
        <v>3415</v>
      </c>
      <c r="N734" s="2" t="s">
        <v>48</v>
      </c>
      <c r="O734" s="2" t="s">
        <v>3416</v>
      </c>
      <c r="P734" s="2" t="s">
        <v>647</v>
      </c>
      <c r="Q734" s="2" t="s">
        <v>3417</v>
      </c>
      <c r="R734" s="2">
        <v>55448</v>
      </c>
      <c r="S734" s="2">
        <v>45.197778</v>
      </c>
      <c r="T734" s="2">
        <v>-93.351592999999994</v>
      </c>
      <c r="W734" s="9"/>
      <c r="AC734" s="2" t="s">
        <v>51</v>
      </c>
      <c r="AD734" s="2">
        <f t="shared" si="11"/>
        <v>2022</v>
      </c>
    </row>
    <row r="735" spans="1:30" hidden="1">
      <c r="A735" s="42" t="s">
        <v>3333</v>
      </c>
      <c r="B735" s="42">
        <v>44614</v>
      </c>
      <c r="C735" s="2" t="s">
        <v>3418</v>
      </c>
      <c r="D735" s="2" t="s">
        <v>340</v>
      </c>
      <c r="E735" s="2" t="s">
        <v>66</v>
      </c>
      <c r="F735" s="1" t="s">
        <v>34</v>
      </c>
      <c r="G735" s="2" t="s">
        <v>3419</v>
      </c>
      <c r="H735" s="2" t="s">
        <v>131</v>
      </c>
      <c r="I735" s="11">
        <v>9000000</v>
      </c>
      <c r="L735" s="5">
        <v>87153</v>
      </c>
      <c r="M735" s="1" t="s">
        <v>47</v>
      </c>
      <c r="N735" s="2" t="s">
        <v>48</v>
      </c>
      <c r="O735" s="2" t="s">
        <v>3420</v>
      </c>
      <c r="P735" s="2" t="s">
        <v>647</v>
      </c>
      <c r="Q735" s="2" t="s">
        <v>3421</v>
      </c>
      <c r="R735" s="2">
        <v>55447</v>
      </c>
      <c r="S735" s="2">
        <v>45.011685999999997</v>
      </c>
      <c r="T735" s="2">
        <v>-93.472487999999998</v>
      </c>
      <c r="AC735" s="2" t="s">
        <v>51</v>
      </c>
      <c r="AD735" s="2">
        <f t="shared" si="11"/>
        <v>2022</v>
      </c>
    </row>
    <row r="736" spans="1:30" hidden="1">
      <c r="A736" s="42" t="s">
        <v>3333</v>
      </c>
      <c r="B736" s="93">
        <v>44614</v>
      </c>
      <c r="C736" s="2" t="s">
        <v>3302</v>
      </c>
      <c r="F736" s="1" t="s">
        <v>34</v>
      </c>
      <c r="G736" s="46" t="s">
        <v>3422</v>
      </c>
      <c r="H736" s="2" t="s">
        <v>131</v>
      </c>
      <c r="I736" s="10"/>
      <c r="L736" s="5">
        <v>50000</v>
      </c>
      <c r="M736" s="1" t="s">
        <v>47</v>
      </c>
      <c r="N736" s="2" t="s">
        <v>48</v>
      </c>
      <c r="O736" s="7" t="s">
        <v>3423</v>
      </c>
      <c r="P736" s="2" t="s">
        <v>965</v>
      </c>
      <c r="S736" s="2">
        <v>46.316133999999998</v>
      </c>
      <c r="T736" s="2">
        <v>-94.199479999999994</v>
      </c>
      <c r="V736" s="47"/>
      <c r="W736" s="29"/>
      <c r="AC736" s="2" t="s">
        <v>3424</v>
      </c>
      <c r="AD736" s="2">
        <f t="shared" si="11"/>
        <v>2022</v>
      </c>
    </row>
    <row r="737" spans="1:30" hidden="1">
      <c r="A737" s="42" t="s">
        <v>3333</v>
      </c>
      <c r="B737" s="93">
        <v>44615</v>
      </c>
      <c r="C737" s="2" t="s">
        <v>3425</v>
      </c>
      <c r="D737" s="2" t="s">
        <v>90</v>
      </c>
      <c r="E737" s="1" t="s">
        <v>91</v>
      </c>
      <c r="F737" s="1" t="s">
        <v>34</v>
      </c>
      <c r="G737" s="46" t="s">
        <v>3426</v>
      </c>
      <c r="H737" s="2" t="s">
        <v>131</v>
      </c>
      <c r="I737" s="10">
        <v>25000000</v>
      </c>
      <c r="J737" s="29">
        <v>80</v>
      </c>
      <c r="L737" s="5">
        <v>189000</v>
      </c>
      <c r="M737" s="2" t="s">
        <v>3427</v>
      </c>
      <c r="N737" s="2" t="s">
        <v>48</v>
      </c>
      <c r="O737" s="7" t="s">
        <v>3428</v>
      </c>
      <c r="P737" s="2" t="s">
        <v>285</v>
      </c>
      <c r="Q737" s="2" t="s">
        <v>3429</v>
      </c>
      <c r="R737" s="2">
        <v>55811</v>
      </c>
      <c r="S737" s="2">
        <v>46.838329000000002</v>
      </c>
      <c r="T737" s="2">
        <v>-92.203635000000006</v>
      </c>
      <c r="U737" s="2" t="s">
        <v>378</v>
      </c>
      <c r="V737" s="47" t="s">
        <v>3430</v>
      </c>
      <c r="W737" s="29">
        <f>500000+695000+1200000+300000</f>
        <v>2695000</v>
      </c>
      <c r="AC737" s="2" t="s">
        <v>97</v>
      </c>
      <c r="AD737" s="2">
        <f t="shared" si="11"/>
        <v>2022</v>
      </c>
    </row>
    <row r="738" spans="1:30" hidden="1">
      <c r="A738" s="42" t="s">
        <v>3333</v>
      </c>
      <c r="B738" s="3">
        <v>44615</v>
      </c>
      <c r="C738" s="2" t="s">
        <v>3431</v>
      </c>
      <c r="D738" s="2" t="s">
        <v>400</v>
      </c>
      <c r="E738" s="2" t="s">
        <v>572</v>
      </c>
      <c r="F738" s="1" t="s">
        <v>34</v>
      </c>
      <c r="G738" s="46" t="s">
        <v>3432</v>
      </c>
      <c r="H738" s="2" t="s">
        <v>2214</v>
      </c>
      <c r="I738" s="10">
        <v>6250000</v>
      </c>
      <c r="J738" s="29">
        <v>44</v>
      </c>
      <c r="L738" s="5">
        <v>50000</v>
      </c>
      <c r="N738" s="2" t="s">
        <v>313</v>
      </c>
      <c r="O738" s="2" t="s">
        <v>3433</v>
      </c>
      <c r="P738" s="2" t="s">
        <v>3434</v>
      </c>
      <c r="Q738" s="2" t="s">
        <v>3435</v>
      </c>
      <c r="R738" s="2">
        <v>55362</v>
      </c>
      <c r="S738" s="2">
        <v>45.293306999999999</v>
      </c>
      <c r="T738" s="2">
        <v>-93.786733999999996</v>
      </c>
      <c r="U738" s="2" t="s">
        <v>378</v>
      </c>
      <c r="V738" s="2" t="s">
        <v>1306</v>
      </c>
      <c r="W738" s="10">
        <v>263000</v>
      </c>
      <c r="AC738" s="2" t="s">
        <v>41</v>
      </c>
      <c r="AD738" s="2">
        <f t="shared" si="11"/>
        <v>2022</v>
      </c>
    </row>
    <row r="739" spans="1:30" hidden="1">
      <c r="A739" s="42" t="s">
        <v>3333</v>
      </c>
      <c r="B739" s="42">
        <v>44616</v>
      </c>
      <c r="C739" s="2" t="s">
        <v>3436</v>
      </c>
      <c r="D739" s="46" t="s">
        <v>448</v>
      </c>
      <c r="E739" s="2" t="s">
        <v>66</v>
      </c>
      <c r="F739" s="1" t="s">
        <v>34</v>
      </c>
      <c r="G739" s="2" t="s">
        <v>3437</v>
      </c>
      <c r="H739" s="2" t="s">
        <v>1024</v>
      </c>
      <c r="I739" s="11"/>
      <c r="M739" s="2" t="s">
        <v>2999</v>
      </c>
      <c r="N739" s="2" t="s">
        <v>86</v>
      </c>
      <c r="O739" s="2" t="s">
        <v>3438</v>
      </c>
      <c r="P739" s="2" t="s">
        <v>965</v>
      </c>
      <c r="Q739" s="2" t="s">
        <v>3439</v>
      </c>
      <c r="R739" s="2">
        <v>55344</v>
      </c>
      <c r="S739" s="2">
        <v>44.861035000000001</v>
      </c>
      <c r="T739" s="2">
        <v>-93.415170000000003</v>
      </c>
      <c r="AC739" s="2" t="s">
        <v>51</v>
      </c>
      <c r="AD739" s="2">
        <f t="shared" si="11"/>
        <v>2022</v>
      </c>
    </row>
    <row r="740" spans="1:30" hidden="1">
      <c r="A740" s="42" t="s">
        <v>3333</v>
      </c>
      <c r="B740" s="93">
        <v>44617</v>
      </c>
      <c r="C740" s="2" t="s">
        <v>3440</v>
      </c>
      <c r="D740" s="2" t="s">
        <v>3146</v>
      </c>
      <c r="E740" s="2" t="s">
        <v>2289</v>
      </c>
      <c r="F740" s="1" t="s">
        <v>34</v>
      </c>
      <c r="G740" s="46" t="s">
        <v>3441</v>
      </c>
      <c r="H740" s="2" t="s">
        <v>131</v>
      </c>
      <c r="I740" s="10"/>
      <c r="J740" s="29"/>
      <c r="M740" s="1" t="s">
        <v>47</v>
      </c>
      <c r="N740" s="2" t="s">
        <v>48</v>
      </c>
      <c r="O740" s="7" t="s">
        <v>3442</v>
      </c>
      <c r="P740" s="2" t="s">
        <v>285</v>
      </c>
      <c r="Q740" s="2" t="s">
        <v>3443</v>
      </c>
      <c r="R740" s="2">
        <v>56222</v>
      </c>
      <c r="S740" s="2">
        <v>44.956738999999999</v>
      </c>
      <c r="T740" s="2">
        <v>-95.363369000000006</v>
      </c>
      <c r="V740" s="47"/>
      <c r="W740" s="29"/>
      <c r="AC740" s="2" t="s">
        <v>41</v>
      </c>
      <c r="AD740" s="2">
        <f t="shared" si="11"/>
        <v>2022</v>
      </c>
    </row>
    <row r="741" spans="1:30" hidden="1">
      <c r="A741" s="2" t="s">
        <v>3444</v>
      </c>
      <c r="B741" s="3">
        <v>44620</v>
      </c>
      <c r="C741" s="2" t="s">
        <v>3445</v>
      </c>
      <c r="D741" s="2" t="s">
        <v>546</v>
      </c>
      <c r="E741" s="2" t="s">
        <v>66</v>
      </c>
      <c r="F741" s="1" t="s">
        <v>34</v>
      </c>
      <c r="G741" s="46" t="s">
        <v>3446</v>
      </c>
      <c r="H741" s="2" t="s">
        <v>188</v>
      </c>
      <c r="I741" s="10"/>
      <c r="L741" s="5">
        <v>58550</v>
      </c>
      <c r="M741" s="2" t="s">
        <v>102</v>
      </c>
      <c r="N741" s="251" t="s">
        <v>103</v>
      </c>
      <c r="O741" s="2" t="s">
        <v>3447</v>
      </c>
      <c r="Q741" s="2" t="s">
        <v>3448</v>
      </c>
      <c r="R741" s="2">
        <v>55044</v>
      </c>
      <c r="S741" s="2">
        <v>44.642049999999998</v>
      </c>
      <c r="T741" s="2">
        <v>-93.212100000000007</v>
      </c>
      <c r="V741" s="46"/>
      <c r="W741" s="29"/>
      <c r="AC741" s="2" t="s">
        <v>51</v>
      </c>
      <c r="AD741" s="2">
        <f t="shared" si="11"/>
        <v>2022</v>
      </c>
    </row>
    <row r="742" spans="1:30" hidden="1">
      <c r="A742" s="42" t="s">
        <v>3333</v>
      </c>
      <c r="B742" s="93">
        <v>44623</v>
      </c>
      <c r="C742" s="2" t="s">
        <v>3449</v>
      </c>
      <c r="D742" s="2" t="s">
        <v>467</v>
      </c>
      <c r="E742" s="2" t="s">
        <v>468</v>
      </c>
      <c r="F742" s="1" t="s">
        <v>34</v>
      </c>
      <c r="G742" s="46" t="s">
        <v>3450</v>
      </c>
      <c r="H742" s="2" t="s">
        <v>131</v>
      </c>
      <c r="I742" s="10"/>
      <c r="M742" s="2" t="s">
        <v>2307</v>
      </c>
      <c r="N742" s="2" t="s">
        <v>48</v>
      </c>
      <c r="O742" s="7" t="s">
        <v>3451</v>
      </c>
      <c r="P742" s="2" t="s">
        <v>285</v>
      </c>
      <c r="Q742" s="2" t="s">
        <v>3452</v>
      </c>
      <c r="R742" s="2">
        <v>55021</v>
      </c>
      <c r="S742" s="2">
        <v>44.306463000000001</v>
      </c>
      <c r="T742" s="2">
        <v>-93.302622999999997</v>
      </c>
      <c r="V742" s="47"/>
      <c r="W742" s="29"/>
      <c r="AC742" s="2" t="s">
        <v>120</v>
      </c>
      <c r="AD742" s="2">
        <f t="shared" si="11"/>
        <v>2022</v>
      </c>
    </row>
    <row r="743" spans="1:30" hidden="1">
      <c r="A743" s="42" t="s">
        <v>3333</v>
      </c>
      <c r="B743" s="97">
        <v>44628</v>
      </c>
      <c r="C743" s="69" t="s">
        <v>3453</v>
      </c>
      <c r="D743" s="70" t="s">
        <v>1151</v>
      </c>
      <c r="E743" s="2" t="s">
        <v>572</v>
      </c>
      <c r="F743" s="1" t="s">
        <v>34</v>
      </c>
      <c r="G743" s="46" t="s">
        <v>3454</v>
      </c>
      <c r="H743" s="70" t="s">
        <v>2214</v>
      </c>
      <c r="I743" s="36"/>
      <c r="J743" s="35">
        <v>75</v>
      </c>
      <c r="L743" s="5">
        <v>744744</v>
      </c>
      <c r="M743" s="2" t="s">
        <v>148</v>
      </c>
      <c r="N743" s="2" t="s">
        <v>48</v>
      </c>
      <c r="O743" s="7" t="s">
        <v>3455</v>
      </c>
      <c r="P743" s="2" t="s">
        <v>965</v>
      </c>
      <c r="Q743" s="2" t="s">
        <v>3456</v>
      </c>
      <c r="R743" s="2">
        <v>55330</v>
      </c>
      <c r="S743" s="2">
        <v>45.243062999999999</v>
      </c>
      <c r="T743" s="2">
        <v>-93.553585999999996</v>
      </c>
      <c r="V743" s="47"/>
      <c r="W743" s="35"/>
      <c r="AC743" s="2" t="s">
        <v>41</v>
      </c>
      <c r="AD743" s="2">
        <f t="shared" si="11"/>
        <v>2022</v>
      </c>
    </row>
    <row r="744" spans="1:30" hidden="1">
      <c r="A744" s="42" t="s">
        <v>3333</v>
      </c>
      <c r="B744" s="97">
        <v>44629</v>
      </c>
      <c r="C744" s="69" t="s">
        <v>2330</v>
      </c>
      <c r="D744" s="70" t="s">
        <v>1302</v>
      </c>
      <c r="E744" s="2" t="s">
        <v>66</v>
      </c>
      <c r="F744" s="1" t="s">
        <v>34</v>
      </c>
      <c r="G744" s="46" t="s">
        <v>3457</v>
      </c>
      <c r="H744" s="70"/>
      <c r="I744" s="36"/>
      <c r="J744" s="35">
        <v>60</v>
      </c>
      <c r="M744" s="2" t="s">
        <v>531</v>
      </c>
      <c r="N744" s="2" t="s">
        <v>300</v>
      </c>
      <c r="O744" s="7" t="s">
        <v>3458</v>
      </c>
      <c r="P744" s="2" t="s">
        <v>285</v>
      </c>
      <c r="Q744" s="2" t="s">
        <v>3459</v>
      </c>
      <c r="R744" s="2">
        <v>55427</v>
      </c>
      <c r="S744" s="2">
        <v>44.985067000000001</v>
      </c>
      <c r="T744" s="2">
        <v>-93.382441999999998</v>
      </c>
      <c r="V744" s="47"/>
      <c r="W744" s="35"/>
      <c r="AC744" s="2" t="s">
        <v>51</v>
      </c>
      <c r="AD744" s="2">
        <f t="shared" si="11"/>
        <v>2022</v>
      </c>
    </row>
    <row r="745" spans="1:30" hidden="1">
      <c r="A745" s="42" t="s">
        <v>3333</v>
      </c>
      <c r="B745" s="212">
        <v>44630</v>
      </c>
      <c r="C745" s="217" t="s">
        <v>3460</v>
      </c>
      <c r="D745" s="217" t="s">
        <v>197</v>
      </c>
      <c r="E745" s="2" t="s">
        <v>99</v>
      </c>
      <c r="F745" s="1" t="s">
        <v>34</v>
      </c>
      <c r="G745" s="46" t="s">
        <v>3461</v>
      </c>
      <c r="H745" s="216"/>
      <c r="I745" s="10"/>
      <c r="J745" s="29">
        <v>200</v>
      </c>
      <c r="M745" s="2" t="s">
        <v>2109</v>
      </c>
      <c r="N745" s="2" t="s">
        <v>37</v>
      </c>
      <c r="O745" s="2" t="s">
        <v>3462</v>
      </c>
      <c r="P745" s="2" t="s">
        <v>285</v>
      </c>
      <c r="Q745" s="2" t="s">
        <v>3463</v>
      </c>
      <c r="R745" s="2">
        <v>55113</v>
      </c>
      <c r="S745" s="2">
        <v>45.012017999999998</v>
      </c>
      <c r="T745" s="2">
        <v>-93.198836</v>
      </c>
      <c r="U745" s="2" t="s">
        <v>143</v>
      </c>
      <c r="W745" s="10"/>
      <c r="AC745" s="2" t="s">
        <v>51</v>
      </c>
      <c r="AD745" s="2">
        <f t="shared" si="11"/>
        <v>2022</v>
      </c>
    </row>
    <row r="746" spans="1:30" hidden="1">
      <c r="A746" s="42" t="s">
        <v>3333</v>
      </c>
      <c r="B746" s="93">
        <v>44630</v>
      </c>
      <c r="C746" s="83" t="s">
        <v>3464</v>
      </c>
      <c r="D746" s="83" t="s">
        <v>1302</v>
      </c>
      <c r="E746" s="2" t="s">
        <v>66</v>
      </c>
      <c r="F746" s="1" t="s">
        <v>34</v>
      </c>
      <c r="G746" s="46" t="s">
        <v>3465</v>
      </c>
      <c r="H746" s="2" t="s">
        <v>2214</v>
      </c>
      <c r="I746" s="10"/>
      <c r="J746" s="29"/>
      <c r="L746" s="5">
        <v>24000</v>
      </c>
      <c r="N746" s="2" t="s">
        <v>253</v>
      </c>
      <c r="O746" s="2" t="s">
        <v>3466</v>
      </c>
      <c r="P746" s="2" t="s">
        <v>965</v>
      </c>
      <c r="Q746" s="2" t="s">
        <v>3467</v>
      </c>
      <c r="R746" s="2">
        <v>55422</v>
      </c>
      <c r="S746" s="2">
        <v>44.987665999999997</v>
      </c>
      <c r="T746" s="2">
        <v>-93.358109999999996</v>
      </c>
      <c r="U746" s="2" t="s">
        <v>143</v>
      </c>
      <c r="W746" s="10"/>
      <c r="AC746" s="2" t="s">
        <v>51</v>
      </c>
      <c r="AD746" s="2">
        <f t="shared" si="11"/>
        <v>2022</v>
      </c>
    </row>
    <row r="747" spans="1:30" hidden="1">
      <c r="A747" s="42" t="s">
        <v>3333</v>
      </c>
      <c r="B747" s="93">
        <v>44631</v>
      </c>
      <c r="C747" s="2" t="s">
        <v>3468</v>
      </c>
      <c r="D747" s="2" t="s">
        <v>270</v>
      </c>
      <c r="E747" s="2" t="s">
        <v>99</v>
      </c>
      <c r="F747" s="1" t="s">
        <v>34</v>
      </c>
      <c r="G747" s="2" t="s">
        <v>3469</v>
      </c>
      <c r="H747" s="2" t="s">
        <v>131</v>
      </c>
      <c r="I747" s="10"/>
      <c r="J747" s="5">
        <v>500</v>
      </c>
      <c r="L747" s="5">
        <v>168000</v>
      </c>
      <c r="M747" s="2" t="s">
        <v>93</v>
      </c>
      <c r="N747" s="2" t="s">
        <v>48</v>
      </c>
      <c r="O747" s="82" t="s">
        <v>3470</v>
      </c>
      <c r="P747" s="2" t="s">
        <v>965</v>
      </c>
      <c r="Q747" s="2" t="s">
        <v>3471</v>
      </c>
      <c r="R747" s="2">
        <v>55113</v>
      </c>
      <c r="S747" s="2">
        <v>45.104632000000002</v>
      </c>
      <c r="T747" s="2">
        <v>-93.186925000000002</v>
      </c>
      <c r="V747" s="47"/>
      <c r="W747" s="29"/>
      <c r="AC747" s="2" t="s">
        <v>51</v>
      </c>
      <c r="AD747" s="2">
        <f t="shared" si="11"/>
        <v>2022</v>
      </c>
    </row>
    <row r="748" spans="1:30" hidden="1">
      <c r="A748" s="2" t="s">
        <v>3333</v>
      </c>
      <c r="B748" s="42">
        <v>44631</v>
      </c>
      <c r="C748" s="2" t="s">
        <v>3472</v>
      </c>
      <c r="D748" s="2" t="s">
        <v>3136</v>
      </c>
      <c r="E748" s="2" t="s">
        <v>1671</v>
      </c>
      <c r="F748" s="1" t="s">
        <v>34</v>
      </c>
      <c r="G748" s="2" t="s">
        <v>3473</v>
      </c>
      <c r="H748" s="2" t="s">
        <v>131</v>
      </c>
      <c r="I748" s="98">
        <v>1600000</v>
      </c>
      <c r="J748" s="29">
        <v>36</v>
      </c>
      <c r="M748" s="2" t="s">
        <v>3474</v>
      </c>
      <c r="N748" s="2" t="s">
        <v>48</v>
      </c>
      <c r="O748" s="2" t="s">
        <v>3475</v>
      </c>
      <c r="P748" s="2" t="s">
        <v>3476</v>
      </c>
      <c r="Q748" s="2" t="s">
        <v>3477</v>
      </c>
      <c r="R748" s="2">
        <v>56716</v>
      </c>
      <c r="S748" s="2">
        <v>47.762580999999997</v>
      </c>
      <c r="T748" s="2">
        <v>-96.625523000000001</v>
      </c>
      <c r="U748" s="2" t="s">
        <v>378</v>
      </c>
      <c r="V748" s="2" t="s">
        <v>1306</v>
      </c>
      <c r="W748" s="2">
        <v>175000</v>
      </c>
      <c r="AC748" s="2" t="s">
        <v>97</v>
      </c>
      <c r="AD748" s="2">
        <f t="shared" si="11"/>
        <v>2022</v>
      </c>
    </row>
    <row r="749" spans="1:30" hidden="1">
      <c r="A749" s="42" t="s">
        <v>3333</v>
      </c>
      <c r="B749" s="3">
        <v>44634</v>
      </c>
      <c r="C749" s="2" t="s">
        <v>3478</v>
      </c>
      <c r="D749" s="172" t="s">
        <v>3479</v>
      </c>
      <c r="E749" s="2" t="s">
        <v>3480</v>
      </c>
      <c r="F749" s="1" t="s">
        <v>34</v>
      </c>
      <c r="G749" s="46" t="s">
        <v>3481</v>
      </c>
      <c r="H749" s="2" t="s">
        <v>131</v>
      </c>
      <c r="I749" s="173">
        <v>10300000</v>
      </c>
      <c r="J749" s="174">
        <v>60</v>
      </c>
      <c r="L749" s="5">
        <v>62500</v>
      </c>
      <c r="M749" s="2" t="s">
        <v>93</v>
      </c>
      <c r="N749" s="2" t="s">
        <v>48</v>
      </c>
      <c r="O749" s="2" t="s">
        <v>3482</v>
      </c>
      <c r="R749" s="2">
        <v>56750</v>
      </c>
      <c r="S749" s="2">
        <v>47.885347000000003</v>
      </c>
      <c r="T749" s="2">
        <v>-96.270368000000005</v>
      </c>
      <c r="U749" s="2" t="s">
        <v>378</v>
      </c>
      <c r="V749" s="46" t="s">
        <v>1576</v>
      </c>
      <c r="W749" s="175">
        <v>420000</v>
      </c>
      <c r="AC749" s="2" t="s">
        <v>97</v>
      </c>
      <c r="AD749" s="2">
        <f t="shared" si="11"/>
        <v>2022</v>
      </c>
    </row>
    <row r="750" spans="1:30" hidden="1">
      <c r="A750" s="42" t="s">
        <v>3333</v>
      </c>
      <c r="B750" s="42">
        <v>44642</v>
      </c>
      <c r="C750" s="2" t="s">
        <v>3483</v>
      </c>
      <c r="D750" s="2" t="s">
        <v>528</v>
      </c>
      <c r="E750" s="2" t="s">
        <v>66</v>
      </c>
      <c r="F750" s="1" t="s">
        <v>34</v>
      </c>
      <c r="G750" s="2" t="s">
        <v>3484</v>
      </c>
      <c r="H750" s="2" t="s">
        <v>2214</v>
      </c>
      <c r="I750" s="29">
        <v>11000000</v>
      </c>
      <c r="J750" s="29"/>
      <c r="N750" s="2" t="s">
        <v>253</v>
      </c>
      <c r="O750" s="7" t="s">
        <v>2084</v>
      </c>
      <c r="P750" s="2" t="s">
        <v>2375</v>
      </c>
      <c r="Q750" s="2" t="s">
        <v>2467</v>
      </c>
      <c r="R750" s="2">
        <v>55438</v>
      </c>
      <c r="S750" s="2">
        <v>44.800666</v>
      </c>
      <c r="T750" s="2">
        <v>-93.361986000000002</v>
      </c>
      <c r="V750" s="47"/>
      <c r="W750" s="29"/>
      <c r="AC750" s="2" t="s">
        <v>51</v>
      </c>
      <c r="AD750" s="2">
        <f t="shared" si="11"/>
        <v>2022</v>
      </c>
    </row>
    <row r="751" spans="1:30" hidden="1">
      <c r="A751" s="42" t="s">
        <v>3333</v>
      </c>
      <c r="B751" s="93">
        <v>44643</v>
      </c>
      <c r="C751" s="2" t="s">
        <v>3485</v>
      </c>
      <c r="D751" s="2" t="s">
        <v>372</v>
      </c>
      <c r="E751" s="2" t="s">
        <v>373</v>
      </c>
      <c r="F751" s="1" t="s">
        <v>34</v>
      </c>
      <c r="G751" s="46" t="s">
        <v>3486</v>
      </c>
      <c r="H751" s="2" t="s">
        <v>2079</v>
      </c>
      <c r="I751" s="10"/>
      <c r="J751" s="29"/>
      <c r="M751" s="2" t="s">
        <v>3487</v>
      </c>
      <c r="N751" s="2" t="s">
        <v>86</v>
      </c>
      <c r="O751" s="7" t="s">
        <v>3488</v>
      </c>
      <c r="P751" s="2" t="s">
        <v>647</v>
      </c>
      <c r="Q751" s="2" t="s">
        <v>3489</v>
      </c>
      <c r="R751" s="2">
        <v>56001</v>
      </c>
      <c r="S751" s="2">
        <v>44.128324999999997</v>
      </c>
      <c r="T751" s="2">
        <v>-93.978863000000004</v>
      </c>
      <c r="V751" s="47"/>
      <c r="W751" s="29"/>
      <c r="AC751" s="2" t="s">
        <v>120</v>
      </c>
      <c r="AD751" s="2">
        <f t="shared" si="11"/>
        <v>2022</v>
      </c>
    </row>
    <row r="752" spans="1:30" hidden="1">
      <c r="A752" s="42" t="s">
        <v>3333</v>
      </c>
      <c r="B752" s="93">
        <v>44644</v>
      </c>
      <c r="C752" s="83" t="s">
        <v>3490</v>
      </c>
      <c r="D752" s="83" t="s">
        <v>1171</v>
      </c>
      <c r="E752" s="2" t="s">
        <v>1172</v>
      </c>
      <c r="F752" s="1" t="s">
        <v>34</v>
      </c>
      <c r="G752" s="46" t="s">
        <v>3491</v>
      </c>
      <c r="H752" s="2" t="s">
        <v>3492</v>
      </c>
      <c r="I752" s="10"/>
      <c r="J752" s="29"/>
      <c r="M752" s="2" t="s">
        <v>2147</v>
      </c>
      <c r="N752" s="2" t="s">
        <v>48</v>
      </c>
      <c r="O752" s="2" t="s">
        <v>3493</v>
      </c>
      <c r="P752" s="2" t="s">
        <v>647</v>
      </c>
      <c r="Q752" s="2" t="s">
        <v>3494</v>
      </c>
      <c r="R752" s="2">
        <v>56379</v>
      </c>
      <c r="S752" s="2">
        <v>45.602699000000001</v>
      </c>
      <c r="T752" s="2">
        <v>-94.157898000000003</v>
      </c>
      <c r="W752" s="10"/>
      <c r="AC752" s="2" t="s">
        <v>41</v>
      </c>
      <c r="AD752" s="2">
        <f t="shared" si="11"/>
        <v>2022</v>
      </c>
    </row>
    <row r="753" spans="1:30" hidden="1">
      <c r="A753" s="42" t="s">
        <v>3333</v>
      </c>
      <c r="B753" s="42">
        <v>44645</v>
      </c>
      <c r="C753" s="2" t="s">
        <v>3495</v>
      </c>
      <c r="D753" s="46" t="s">
        <v>1741</v>
      </c>
      <c r="E753" s="2" t="s">
        <v>1253</v>
      </c>
      <c r="F753" s="1" t="s">
        <v>34</v>
      </c>
      <c r="G753" s="46" t="s">
        <v>3496</v>
      </c>
      <c r="H753" s="2" t="s">
        <v>131</v>
      </c>
      <c r="I753" s="11">
        <v>6000000</v>
      </c>
      <c r="J753" s="5">
        <v>23</v>
      </c>
      <c r="L753" s="5">
        <v>50000</v>
      </c>
      <c r="M753" s="2" t="s">
        <v>93</v>
      </c>
      <c r="N753" s="2" t="s">
        <v>48</v>
      </c>
      <c r="O753" s="2" t="s">
        <v>3497</v>
      </c>
      <c r="P753" s="2" t="s">
        <v>3498</v>
      </c>
      <c r="Q753" s="157" t="s">
        <v>3499</v>
      </c>
      <c r="R753" s="2">
        <v>55060</v>
      </c>
      <c r="S753" s="2">
        <v>44.059711</v>
      </c>
      <c r="T753" s="2">
        <v>-93.264083999999997</v>
      </c>
      <c r="U753" s="2" t="s">
        <v>378</v>
      </c>
      <c r="V753" s="2" t="s">
        <v>3500</v>
      </c>
      <c r="W753" s="2">
        <f>140000+800000</f>
        <v>940000</v>
      </c>
      <c r="AC753" s="2" t="s">
        <v>120</v>
      </c>
      <c r="AD753" s="2">
        <f t="shared" si="11"/>
        <v>2022</v>
      </c>
    </row>
    <row r="754" spans="1:30" hidden="1">
      <c r="A754" s="42" t="s">
        <v>3333</v>
      </c>
      <c r="B754" s="93">
        <v>44645</v>
      </c>
      <c r="C754" s="2" t="s">
        <v>3501</v>
      </c>
      <c r="D754" s="2" t="s">
        <v>2875</v>
      </c>
      <c r="E754" s="2" t="s">
        <v>2875</v>
      </c>
      <c r="F754" s="1" t="s">
        <v>34</v>
      </c>
      <c r="G754" s="46" t="s">
        <v>3502</v>
      </c>
      <c r="H754" s="2" t="s">
        <v>131</v>
      </c>
      <c r="I754" s="10">
        <v>22000000</v>
      </c>
      <c r="J754" s="29">
        <v>100</v>
      </c>
      <c r="L754" s="5">
        <v>28000</v>
      </c>
      <c r="M754" s="2" t="s">
        <v>417</v>
      </c>
      <c r="N754" s="2" t="s">
        <v>48</v>
      </c>
      <c r="O754" s="7" t="s">
        <v>3503</v>
      </c>
      <c r="P754" s="2" t="s">
        <v>285</v>
      </c>
      <c r="Q754" s="2" t="s">
        <v>3504</v>
      </c>
      <c r="R754" s="2">
        <v>56751</v>
      </c>
      <c r="S754" s="2">
        <v>48.842533000000003</v>
      </c>
      <c r="T754" s="2">
        <v>-95.779133000000002</v>
      </c>
      <c r="V754" s="47"/>
      <c r="W754" s="29"/>
      <c r="AC754" s="2" t="s">
        <v>97</v>
      </c>
      <c r="AD754" s="2">
        <f t="shared" si="11"/>
        <v>2022</v>
      </c>
    </row>
    <row r="755" spans="1:30" hidden="1">
      <c r="A755" s="42" t="s">
        <v>3333</v>
      </c>
      <c r="B755" s="42">
        <v>44648</v>
      </c>
      <c r="C755" s="2" t="s">
        <v>1186</v>
      </c>
      <c r="D755" s="46" t="s">
        <v>528</v>
      </c>
      <c r="E755" s="2" t="s">
        <v>66</v>
      </c>
      <c r="F755" s="1" t="s">
        <v>34</v>
      </c>
      <c r="G755" s="2" t="s">
        <v>3505</v>
      </c>
      <c r="I755" s="11"/>
      <c r="J755" s="5">
        <v>80</v>
      </c>
      <c r="M755" s="2" t="s">
        <v>85</v>
      </c>
      <c r="N755" s="2" t="s">
        <v>86</v>
      </c>
      <c r="O755" s="2" t="s">
        <v>3506</v>
      </c>
      <c r="P755" s="2" t="s">
        <v>965</v>
      </c>
      <c r="Q755" s="99" t="s">
        <v>3507</v>
      </c>
      <c r="R755" s="2">
        <v>55431</v>
      </c>
      <c r="S755" s="2">
        <v>44.832459999999998</v>
      </c>
      <c r="T755" s="2">
        <v>-93.297618</v>
      </c>
      <c r="U755" s="2" t="s">
        <v>143</v>
      </c>
      <c r="AC755" s="2" t="s">
        <v>51</v>
      </c>
      <c r="AD755" s="2">
        <f t="shared" si="11"/>
        <v>2022</v>
      </c>
    </row>
    <row r="756" spans="1:30" hidden="1">
      <c r="A756" s="42" t="s">
        <v>3333</v>
      </c>
      <c r="B756" s="93">
        <v>44648</v>
      </c>
      <c r="C756" s="2" t="s">
        <v>3508</v>
      </c>
      <c r="D756" s="2" t="s">
        <v>65</v>
      </c>
      <c r="E756" s="2" t="s">
        <v>66</v>
      </c>
      <c r="F756" s="1" t="s">
        <v>34</v>
      </c>
      <c r="G756" s="46" t="s">
        <v>3509</v>
      </c>
      <c r="I756" s="10"/>
      <c r="J756" s="29">
        <v>150</v>
      </c>
      <c r="M756" s="2" t="s">
        <v>1636</v>
      </c>
      <c r="N756" s="2" t="s">
        <v>140</v>
      </c>
      <c r="O756" s="7" t="s">
        <v>3510</v>
      </c>
      <c r="P756" s="2" t="s">
        <v>285</v>
      </c>
      <c r="Q756" s="2" t="s">
        <v>3511</v>
      </c>
      <c r="R756" s="2">
        <v>55402</v>
      </c>
      <c r="S756" s="2">
        <v>44.979571999999997</v>
      </c>
      <c r="T756" s="2">
        <v>-93.271890999999997</v>
      </c>
      <c r="V756" s="47"/>
      <c r="W756" s="29"/>
      <c r="AC756" s="2" t="s">
        <v>51</v>
      </c>
      <c r="AD756" s="2">
        <f t="shared" si="11"/>
        <v>2022</v>
      </c>
    </row>
    <row r="757" spans="1:30" hidden="1">
      <c r="A757" s="42" t="s">
        <v>3333</v>
      </c>
      <c r="B757" s="93">
        <v>44648</v>
      </c>
      <c r="C757" s="2" t="s">
        <v>3512</v>
      </c>
      <c r="D757" s="2" t="s">
        <v>65</v>
      </c>
      <c r="E757" s="2" t="s">
        <v>66</v>
      </c>
      <c r="F757" s="1" t="s">
        <v>34</v>
      </c>
      <c r="G757" s="46" t="s">
        <v>3513</v>
      </c>
      <c r="I757" s="10"/>
      <c r="J757" s="29"/>
      <c r="M757" s="2" t="s">
        <v>85</v>
      </c>
      <c r="N757" s="2" t="s">
        <v>86</v>
      </c>
      <c r="O757" s="7" t="s">
        <v>3514</v>
      </c>
      <c r="P757" s="2" t="s">
        <v>285</v>
      </c>
      <c r="Q757" s="2" t="s">
        <v>3515</v>
      </c>
      <c r="R757" s="2">
        <v>55415</v>
      </c>
      <c r="S757" s="2">
        <v>44.977710000000002</v>
      </c>
      <c r="T757" s="2">
        <v>-93.258351000000005</v>
      </c>
      <c r="V757" s="47"/>
      <c r="W757" s="29"/>
      <c r="AC757" s="2" t="s">
        <v>51</v>
      </c>
      <c r="AD757" s="2">
        <f t="shared" si="11"/>
        <v>2022</v>
      </c>
    </row>
    <row r="758" spans="1:30" hidden="1">
      <c r="A758" s="42" t="s">
        <v>3333</v>
      </c>
      <c r="B758" s="93">
        <v>44649</v>
      </c>
      <c r="C758" s="2" t="s">
        <v>3516</v>
      </c>
      <c r="D758" s="2" t="s">
        <v>3387</v>
      </c>
      <c r="E758" s="2" t="s">
        <v>3388</v>
      </c>
      <c r="F758" s="1" t="s">
        <v>34</v>
      </c>
      <c r="G758" s="46" t="s">
        <v>3517</v>
      </c>
      <c r="H758" s="2" t="s">
        <v>131</v>
      </c>
      <c r="I758" s="10"/>
      <c r="J758" s="29">
        <f>70-43</f>
        <v>27</v>
      </c>
      <c r="L758" s="5">
        <v>30000</v>
      </c>
      <c r="M758" s="2" t="s">
        <v>93</v>
      </c>
      <c r="N758" s="2" t="s">
        <v>48</v>
      </c>
      <c r="O758" s="7" t="s">
        <v>3518</v>
      </c>
      <c r="P758" s="2" t="s">
        <v>285</v>
      </c>
      <c r="Q758" s="2" t="s">
        <v>3519</v>
      </c>
      <c r="R758" s="2">
        <v>55709</v>
      </c>
      <c r="S758" s="2">
        <v>47.263482000000003</v>
      </c>
      <c r="T758" s="2">
        <v>-93.463611999999998</v>
      </c>
      <c r="U758" s="2" t="s">
        <v>378</v>
      </c>
      <c r="V758" s="47" t="s">
        <v>3198</v>
      </c>
      <c r="W758" s="29">
        <v>230592</v>
      </c>
      <c r="AC758" s="2" t="s">
        <v>97</v>
      </c>
      <c r="AD758" s="2">
        <f t="shared" si="11"/>
        <v>2022</v>
      </c>
    </row>
    <row r="759" spans="1:30" hidden="1">
      <c r="A759" s="42" t="s">
        <v>3333</v>
      </c>
      <c r="B759" s="93">
        <v>44651</v>
      </c>
      <c r="C759" s="2" t="s">
        <v>3520</v>
      </c>
      <c r="D759" s="2" t="s">
        <v>3521</v>
      </c>
      <c r="E759" s="2" t="s">
        <v>952</v>
      </c>
      <c r="F759" s="1" t="s">
        <v>34</v>
      </c>
      <c r="G759" s="2" t="s">
        <v>3522</v>
      </c>
      <c r="H759" s="2" t="s">
        <v>131</v>
      </c>
      <c r="I759" s="10">
        <v>5700000</v>
      </c>
      <c r="J759" s="5">
        <v>24</v>
      </c>
      <c r="L759" s="5">
        <v>15000</v>
      </c>
      <c r="M759" s="1" t="s">
        <v>47</v>
      </c>
      <c r="N759" s="2" t="s">
        <v>48</v>
      </c>
      <c r="P759" s="100" t="s">
        <v>658</v>
      </c>
      <c r="Q759" s="2" t="s">
        <v>3523</v>
      </c>
      <c r="R759" s="2">
        <v>56316</v>
      </c>
      <c r="S759" s="2">
        <v>45.501446000000001</v>
      </c>
      <c r="T759" s="2">
        <v>-95.123282000000003</v>
      </c>
      <c r="U759" s="2" t="s">
        <v>378</v>
      </c>
      <c r="V759" s="47" t="s">
        <v>287</v>
      </c>
      <c r="W759" s="29">
        <v>866000</v>
      </c>
      <c r="AC759" s="2" t="s">
        <v>41</v>
      </c>
      <c r="AD759" s="2">
        <f t="shared" si="11"/>
        <v>2022</v>
      </c>
    </row>
    <row r="760" spans="1:30" hidden="1">
      <c r="A760" s="42" t="s">
        <v>3333</v>
      </c>
      <c r="B760" s="93">
        <v>44651</v>
      </c>
      <c r="C760" s="2" t="s">
        <v>3524</v>
      </c>
      <c r="D760" s="2" t="s">
        <v>122</v>
      </c>
      <c r="E760" s="2" t="s">
        <v>123</v>
      </c>
      <c r="F760" s="1" t="s">
        <v>34</v>
      </c>
      <c r="G760" s="46" t="s">
        <v>3525</v>
      </c>
      <c r="H760" s="2" t="s">
        <v>2214</v>
      </c>
      <c r="I760" s="10">
        <v>50000000</v>
      </c>
      <c r="J760" s="29">
        <v>75</v>
      </c>
      <c r="L760" s="5">
        <v>235000</v>
      </c>
      <c r="N760" s="2" t="s">
        <v>1004</v>
      </c>
      <c r="O760" s="7" t="s">
        <v>3526</v>
      </c>
      <c r="P760" s="100" t="s">
        <v>658</v>
      </c>
      <c r="Q760" s="2" t="s">
        <v>3527</v>
      </c>
      <c r="R760" s="2">
        <v>56156</v>
      </c>
      <c r="S760" s="2">
        <v>43.642752000000002</v>
      </c>
      <c r="T760" s="2">
        <v>-96.240429000000006</v>
      </c>
      <c r="U760" s="2" t="s">
        <v>378</v>
      </c>
      <c r="V760" s="47" t="s">
        <v>287</v>
      </c>
      <c r="W760" s="29">
        <v>467422</v>
      </c>
      <c r="AC760" s="2" t="s">
        <v>120</v>
      </c>
      <c r="AD760" s="2">
        <f t="shared" si="11"/>
        <v>2022</v>
      </c>
    </row>
    <row r="761" spans="1:30" hidden="1">
      <c r="A761" s="2" t="s">
        <v>3528</v>
      </c>
      <c r="B761" s="3">
        <v>44652</v>
      </c>
      <c r="C761" s="2" t="s">
        <v>3529</v>
      </c>
      <c r="D761" s="2" t="s">
        <v>219</v>
      </c>
      <c r="E761" s="2" t="s">
        <v>44</v>
      </c>
      <c r="F761" s="1" t="s">
        <v>34</v>
      </c>
      <c r="G761" s="46" t="s">
        <v>3530</v>
      </c>
      <c r="H761" s="2" t="s">
        <v>3531</v>
      </c>
      <c r="I761" s="11"/>
      <c r="L761" s="5">
        <v>350000</v>
      </c>
      <c r="M761" s="2" t="s">
        <v>496</v>
      </c>
      <c r="N761" s="2" t="s">
        <v>48</v>
      </c>
      <c r="O761" s="2" t="s">
        <v>3532</v>
      </c>
      <c r="Q761" s="2" t="s">
        <v>2870</v>
      </c>
      <c r="R761" s="2">
        <v>55016</v>
      </c>
      <c r="S761" s="2">
        <v>44.806213999999997</v>
      </c>
      <c r="T761" s="2">
        <v>-92.939010999999994</v>
      </c>
      <c r="W761" s="11"/>
      <c r="AC761" s="2" t="s">
        <v>51</v>
      </c>
      <c r="AD761" s="2">
        <f t="shared" si="11"/>
        <v>2022</v>
      </c>
    </row>
    <row r="762" spans="1:30" hidden="1">
      <c r="A762" s="2" t="s">
        <v>3528</v>
      </c>
      <c r="B762" s="3">
        <v>44652</v>
      </c>
      <c r="C762" s="2" t="s">
        <v>3533</v>
      </c>
      <c r="D762" s="2" t="s">
        <v>3397</v>
      </c>
      <c r="E762" s="2" t="s">
        <v>3388</v>
      </c>
      <c r="F762" s="1" t="s">
        <v>34</v>
      </c>
      <c r="G762" s="46" t="s">
        <v>3534</v>
      </c>
      <c r="H762" s="2" t="s">
        <v>3531</v>
      </c>
      <c r="I762" s="11">
        <v>9400000</v>
      </c>
      <c r="J762" s="5">
        <v>300</v>
      </c>
      <c r="L762" s="5">
        <v>60000</v>
      </c>
      <c r="M762" s="2" t="s">
        <v>93</v>
      </c>
      <c r="N762" s="2" t="s">
        <v>48</v>
      </c>
      <c r="O762" s="7" t="s">
        <v>3535</v>
      </c>
      <c r="Q762" s="2" t="s">
        <v>3536</v>
      </c>
      <c r="R762" s="2">
        <v>55744</v>
      </c>
      <c r="S762" s="2">
        <v>47.220570000000002</v>
      </c>
      <c r="T762" s="2">
        <v>-93.507794000000004</v>
      </c>
      <c r="U762" s="2" t="s">
        <v>378</v>
      </c>
      <c r="V762" s="2" t="s">
        <v>3537</v>
      </c>
      <c r="W762" s="11">
        <f>1000000+234000+186000+850000+450000</f>
        <v>2720000</v>
      </c>
      <c r="AC762" s="2" t="s">
        <v>97</v>
      </c>
      <c r="AD762" s="2">
        <f t="shared" si="11"/>
        <v>2022</v>
      </c>
    </row>
    <row r="763" spans="1:30" hidden="1">
      <c r="A763" s="2" t="s">
        <v>3528</v>
      </c>
      <c r="B763" s="3">
        <v>44652</v>
      </c>
      <c r="C763" s="2" t="s">
        <v>3538</v>
      </c>
      <c r="D763" s="2" t="s">
        <v>1078</v>
      </c>
      <c r="E763" s="1" t="s">
        <v>91</v>
      </c>
      <c r="F763" s="1" t="s">
        <v>34</v>
      </c>
      <c r="G763" s="46" t="s">
        <v>3539</v>
      </c>
      <c r="H763" s="2" t="s">
        <v>131</v>
      </c>
      <c r="I763" s="11">
        <v>17500000</v>
      </c>
      <c r="J763" s="5">
        <v>18</v>
      </c>
      <c r="L763" s="5">
        <v>60000</v>
      </c>
      <c r="M763" s="2" t="s">
        <v>93</v>
      </c>
      <c r="N763" s="2" t="s">
        <v>48</v>
      </c>
      <c r="O763" s="2" t="s">
        <v>3540</v>
      </c>
      <c r="Q763" s="157" t="s">
        <v>3541</v>
      </c>
      <c r="R763" s="2">
        <v>55746</v>
      </c>
      <c r="S763" s="2">
        <v>47.392319000000001</v>
      </c>
      <c r="T763" s="2">
        <v>-92.842301000000006</v>
      </c>
      <c r="U763" s="2" t="s">
        <v>378</v>
      </c>
      <c r="V763" s="2" t="s">
        <v>3542</v>
      </c>
      <c r="W763" s="11">
        <f>10000000+500000+5000000</f>
        <v>15500000</v>
      </c>
      <c r="Y763" s="2" t="s">
        <v>3543</v>
      </c>
      <c r="AB763" s="2" t="s">
        <v>347</v>
      </c>
      <c r="AC763" s="2" t="s">
        <v>97</v>
      </c>
      <c r="AD763" s="2">
        <f t="shared" si="11"/>
        <v>2022</v>
      </c>
    </row>
    <row r="764" spans="1:30" hidden="1">
      <c r="A764" s="2" t="s">
        <v>3528</v>
      </c>
      <c r="B764" s="42">
        <v>44652</v>
      </c>
      <c r="C764" s="2" t="s">
        <v>3544</v>
      </c>
      <c r="D764" s="2" t="s">
        <v>3545</v>
      </c>
      <c r="E764" s="2" t="s">
        <v>426</v>
      </c>
      <c r="F764" s="1" t="s">
        <v>34</v>
      </c>
      <c r="G764" s="2" t="s">
        <v>3546</v>
      </c>
      <c r="H764" s="2" t="s">
        <v>131</v>
      </c>
      <c r="I764" s="5">
        <v>1200000</v>
      </c>
      <c r="M764" s="1" t="s">
        <v>47</v>
      </c>
      <c r="N764" s="2" t="s">
        <v>48</v>
      </c>
      <c r="O764" s="2" t="s">
        <v>3547</v>
      </c>
      <c r="P764" s="2" t="s">
        <v>3548</v>
      </c>
      <c r="Q764" s="157" t="s">
        <v>3549</v>
      </c>
      <c r="R764" s="2">
        <v>55066</v>
      </c>
      <c r="S764" s="2">
        <v>44.570597999999997</v>
      </c>
      <c r="T764" s="2">
        <v>-92.635468000000003</v>
      </c>
      <c r="W764" s="11"/>
      <c r="AC764" s="2" t="s">
        <v>120</v>
      </c>
      <c r="AD764" s="2">
        <f t="shared" si="11"/>
        <v>2022</v>
      </c>
    </row>
    <row r="765" spans="1:30" hidden="1">
      <c r="A765" s="2" t="s">
        <v>3528</v>
      </c>
      <c r="B765" s="176">
        <v>44655</v>
      </c>
      <c r="C765" s="172" t="s">
        <v>3550</v>
      </c>
      <c r="D765" s="2" t="s">
        <v>65</v>
      </c>
      <c r="E765" s="2" t="s">
        <v>66</v>
      </c>
      <c r="F765" s="1" t="s">
        <v>34</v>
      </c>
      <c r="G765" s="46" t="s">
        <v>3551</v>
      </c>
      <c r="H765" s="2" t="s">
        <v>2079</v>
      </c>
      <c r="I765" s="10"/>
      <c r="M765" s="2" t="s">
        <v>3552</v>
      </c>
      <c r="N765" s="2" t="s">
        <v>86</v>
      </c>
      <c r="O765" s="7" t="s">
        <v>3553</v>
      </c>
      <c r="R765" s="2">
        <v>55401</v>
      </c>
      <c r="S765" s="2">
        <v>44.984577000000002</v>
      </c>
      <c r="T765" s="2">
        <v>-93.269097000000002</v>
      </c>
      <c r="V765" s="46"/>
      <c r="W765" s="29"/>
      <c r="X765" s="2" t="s">
        <v>2319</v>
      </c>
      <c r="Y765" s="172" t="s">
        <v>3550</v>
      </c>
      <c r="AB765" s="2" t="s">
        <v>3021</v>
      </c>
      <c r="AC765" s="2" t="s">
        <v>51</v>
      </c>
      <c r="AD765" s="2">
        <f t="shared" si="11"/>
        <v>2022</v>
      </c>
    </row>
    <row r="766" spans="1:30" ht="15.75" hidden="1">
      <c r="A766" s="2" t="s">
        <v>3528</v>
      </c>
      <c r="B766" s="3">
        <v>44656</v>
      </c>
      <c r="C766" s="2" t="s">
        <v>3554</v>
      </c>
      <c r="D766" s="2" t="s">
        <v>544</v>
      </c>
      <c r="E766" s="2" t="s">
        <v>66</v>
      </c>
      <c r="F766" s="1" t="s">
        <v>34</v>
      </c>
      <c r="G766" s="46" t="s">
        <v>3555</v>
      </c>
      <c r="H766" s="2" t="s">
        <v>2079</v>
      </c>
      <c r="I766" s="11"/>
      <c r="M766" s="2" t="s">
        <v>2521</v>
      </c>
      <c r="N766" s="2" t="s">
        <v>140</v>
      </c>
      <c r="O766" s="2" t="s">
        <v>3556</v>
      </c>
      <c r="Q766" s="153" t="s">
        <v>3557</v>
      </c>
      <c r="R766" s="2">
        <v>55416</v>
      </c>
      <c r="S766" s="2">
        <v>44.964787000000001</v>
      </c>
      <c r="T766" s="2">
        <v>-93.348395999999994</v>
      </c>
      <c r="W766" s="11"/>
      <c r="Y766" s="2" t="s">
        <v>3554</v>
      </c>
      <c r="Z766" s="2" t="s">
        <v>171</v>
      </c>
      <c r="AB766" s="2" t="s">
        <v>3021</v>
      </c>
      <c r="AC766" s="2" t="s">
        <v>51</v>
      </c>
      <c r="AD766" s="2">
        <f t="shared" si="11"/>
        <v>2022</v>
      </c>
    </row>
    <row r="767" spans="1:30" hidden="1">
      <c r="A767" s="2" t="s">
        <v>3528</v>
      </c>
      <c r="B767" s="3">
        <v>44665</v>
      </c>
      <c r="C767" s="2" t="s">
        <v>3558</v>
      </c>
      <c r="D767" s="2" t="s">
        <v>65</v>
      </c>
      <c r="E767" s="2" t="s">
        <v>66</v>
      </c>
      <c r="F767" s="1" t="s">
        <v>34</v>
      </c>
      <c r="G767" s="46" t="s">
        <v>3559</v>
      </c>
      <c r="H767" s="2" t="s">
        <v>2079</v>
      </c>
      <c r="I767" s="11"/>
      <c r="J767" s="5">
        <v>10</v>
      </c>
      <c r="L767" s="5">
        <v>16000</v>
      </c>
      <c r="M767" s="2" t="s">
        <v>318</v>
      </c>
      <c r="N767" s="2" t="s">
        <v>86</v>
      </c>
      <c r="O767" s="2" t="s">
        <v>3560</v>
      </c>
      <c r="Q767" s="2" t="s">
        <v>3561</v>
      </c>
      <c r="R767" s="2">
        <v>55402</v>
      </c>
      <c r="S767" s="2">
        <v>44.975901999999998</v>
      </c>
      <c r="T767" s="2">
        <v>-93.272092999999998</v>
      </c>
      <c r="W767" s="11"/>
      <c r="AC767" s="2" t="s">
        <v>51</v>
      </c>
      <c r="AD767" s="2">
        <f t="shared" si="11"/>
        <v>2022</v>
      </c>
    </row>
    <row r="768" spans="1:30" hidden="1">
      <c r="A768" s="2" t="s">
        <v>3528</v>
      </c>
      <c r="B768" s="3">
        <v>44667</v>
      </c>
      <c r="C768" s="2" t="s">
        <v>3562</v>
      </c>
      <c r="D768" s="2" t="s">
        <v>3397</v>
      </c>
      <c r="E768" s="2" t="s">
        <v>3388</v>
      </c>
      <c r="F768" s="1" t="s">
        <v>34</v>
      </c>
      <c r="G768" s="46" t="s">
        <v>3563</v>
      </c>
      <c r="I768" s="11">
        <v>19502567</v>
      </c>
      <c r="J768" s="5">
        <v>9</v>
      </c>
      <c r="M768" s="2" t="s">
        <v>93</v>
      </c>
      <c r="N768" s="2" t="s">
        <v>48</v>
      </c>
      <c r="O768" s="2" t="s">
        <v>3540</v>
      </c>
      <c r="R768" s="2">
        <v>55730</v>
      </c>
      <c r="S768" s="2">
        <v>47.239730000000002</v>
      </c>
      <c r="T768" s="2">
        <v>-93.53004</v>
      </c>
      <c r="U768" s="2" t="s">
        <v>378</v>
      </c>
      <c r="V768" s="2" t="s">
        <v>3564</v>
      </c>
      <c r="W768" s="11">
        <f>450000+560000</f>
        <v>1010000</v>
      </c>
      <c r="AC768" s="2" t="s">
        <v>97</v>
      </c>
      <c r="AD768" s="2">
        <f t="shared" si="11"/>
        <v>2022</v>
      </c>
    </row>
    <row r="769" spans="1:30" hidden="1">
      <c r="A769" s="2" t="s">
        <v>3528</v>
      </c>
      <c r="B769" s="3">
        <v>44670</v>
      </c>
      <c r="C769" s="2" t="s">
        <v>3141</v>
      </c>
      <c r="D769" s="2" t="s">
        <v>111</v>
      </c>
      <c r="E769" s="2" t="s">
        <v>112</v>
      </c>
      <c r="F769" s="1" t="s">
        <v>34</v>
      </c>
      <c r="G769" s="46" t="s">
        <v>3565</v>
      </c>
      <c r="H769" s="2" t="s">
        <v>3566</v>
      </c>
      <c r="I769" s="11">
        <v>49000000</v>
      </c>
      <c r="M769" s="2" t="s">
        <v>2109</v>
      </c>
      <c r="N769" s="2" t="s">
        <v>37</v>
      </c>
      <c r="O769" s="2" t="s">
        <v>3567</v>
      </c>
      <c r="Q769" s="157" t="s">
        <v>3568</v>
      </c>
      <c r="R769" s="2">
        <v>55905</v>
      </c>
      <c r="S769" s="2">
        <v>44.056727000000002</v>
      </c>
      <c r="T769" s="2">
        <v>-92.525408999999996</v>
      </c>
      <c r="W769" s="11"/>
      <c r="AC769" s="2" t="s">
        <v>120</v>
      </c>
      <c r="AD769" s="2">
        <f t="shared" si="11"/>
        <v>2022</v>
      </c>
    </row>
    <row r="770" spans="1:30" hidden="1">
      <c r="A770" s="2" t="s">
        <v>3528</v>
      </c>
      <c r="B770" s="3">
        <v>44673</v>
      </c>
      <c r="C770" s="2" t="s">
        <v>3569</v>
      </c>
      <c r="D770" s="172" t="s">
        <v>728</v>
      </c>
      <c r="E770" s="2" t="s">
        <v>395</v>
      </c>
      <c r="F770" s="1" t="s">
        <v>34</v>
      </c>
      <c r="G770" s="46" t="s">
        <v>3570</v>
      </c>
      <c r="H770" s="2" t="s">
        <v>2336</v>
      </c>
      <c r="I770" s="10">
        <v>50000000</v>
      </c>
      <c r="M770" s="1" t="s">
        <v>47</v>
      </c>
      <c r="N770" s="2" t="s">
        <v>48</v>
      </c>
      <c r="O770" s="2" t="s">
        <v>3571</v>
      </c>
      <c r="Q770" s="157" t="s">
        <v>3572</v>
      </c>
      <c r="R770" s="2">
        <v>55330</v>
      </c>
      <c r="S770" s="2">
        <v>45.274175999999997</v>
      </c>
      <c r="T770" s="2">
        <v>-93.527265</v>
      </c>
      <c r="V770" s="46"/>
      <c r="W770" s="29"/>
      <c r="AC770" s="2" t="s">
        <v>41</v>
      </c>
      <c r="AD770" s="2">
        <f t="shared" ref="AD770:AD832" si="12">YEAR(B770)</f>
        <v>2022</v>
      </c>
    </row>
    <row r="771" spans="1:30" hidden="1">
      <c r="A771" s="2" t="s">
        <v>3528</v>
      </c>
      <c r="B771" s="3">
        <v>44673</v>
      </c>
      <c r="C771" s="2" t="s">
        <v>3573</v>
      </c>
      <c r="D771" s="172" t="s">
        <v>1143</v>
      </c>
      <c r="E771" s="2" t="s">
        <v>907</v>
      </c>
      <c r="F771" s="1" t="s">
        <v>34</v>
      </c>
      <c r="G771" s="46" t="s">
        <v>3574</v>
      </c>
      <c r="I771" s="10">
        <v>2148000</v>
      </c>
      <c r="J771" s="5">
        <v>110</v>
      </c>
      <c r="M771" s="2" t="s">
        <v>2307</v>
      </c>
      <c r="N771" s="2" t="s">
        <v>48</v>
      </c>
      <c r="O771" s="2" t="s">
        <v>3575</v>
      </c>
      <c r="Q771" s="2" t="s">
        <v>3576</v>
      </c>
      <c r="R771" s="2">
        <v>56345</v>
      </c>
      <c r="S771" s="2">
        <v>45.991349</v>
      </c>
      <c r="T771" s="2">
        <v>-94.348960000000005</v>
      </c>
      <c r="U771" s="2" t="s">
        <v>378</v>
      </c>
      <c r="V771" s="46" t="s">
        <v>1576</v>
      </c>
      <c r="W771" s="29">
        <v>450000</v>
      </c>
      <c r="AC771" s="2" t="s">
        <v>41</v>
      </c>
      <c r="AD771" s="2">
        <f t="shared" si="12"/>
        <v>2022</v>
      </c>
    </row>
    <row r="772" spans="1:30" hidden="1">
      <c r="A772" s="2" t="s">
        <v>3528</v>
      </c>
      <c r="B772" s="42">
        <v>44676</v>
      </c>
      <c r="C772" s="2" t="s">
        <v>3577</v>
      </c>
      <c r="D772" s="46" t="s">
        <v>1404</v>
      </c>
      <c r="E772" s="2" t="s">
        <v>66</v>
      </c>
      <c r="F772" s="1" t="s">
        <v>34</v>
      </c>
      <c r="G772" s="2" t="s">
        <v>3578</v>
      </c>
      <c r="H772" s="2" t="s">
        <v>131</v>
      </c>
      <c r="I772" s="11"/>
      <c r="L772" s="5">
        <v>65000</v>
      </c>
      <c r="M772" s="2" t="s">
        <v>450</v>
      </c>
      <c r="N772" s="2" t="s">
        <v>48</v>
      </c>
      <c r="O772" s="2" t="s">
        <v>3579</v>
      </c>
      <c r="R772" s="2">
        <v>55311</v>
      </c>
      <c r="S772" s="2">
        <v>45.124262999999999</v>
      </c>
      <c r="T772" s="2">
        <v>-93.499583000000001</v>
      </c>
      <c r="AC772" s="2" t="s">
        <v>51</v>
      </c>
      <c r="AD772" s="2">
        <f t="shared" si="12"/>
        <v>2022</v>
      </c>
    </row>
    <row r="773" spans="1:30" hidden="1">
      <c r="A773" s="2" t="s">
        <v>3528</v>
      </c>
      <c r="B773" s="3">
        <v>44677</v>
      </c>
      <c r="C773" s="2" t="s">
        <v>3306</v>
      </c>
      <c r="D773" s="2" t="s">
        <v>2113</v>
      </c>
      <c r="E773" s="2" t="s">
        <v>99</v>
      </c>
      <c r="F773" s="1" t="s">
        <v>34</v>
      </c>
      <c r="G773" s="46" t="s">
        <v>3580</v>
      </c>
      <c r="I773" s="11"/>
      <c r="M773" s="2" t="s">
        <v>531</v>
      </c>
      <c r="N773" s="2" t="s">
        <v>300</v>
      </c>
      <c r="O773" s="2" t="s">
        <v>3581</v>
      </c>
      <c r="Q773" s="157" t="s">
        <v>3582</v>
      </c>
      <c r="R773" s="2">
        <v>55114</v>
      </c>
      <c r="S773" s="2">
        <v>44.957984000000003</v>
      </c>
      <c r="T773" s="2">
        <v>-93.191218000000006</v>
      </c>
      <c r="W773" s="11"/>
      <c r="AC773" s="2" t="s">
        <v>51</v>
      </c>
      <c r="AD773" s="2">
        <f t="shared" si="12"/>
        <v>2022</v>
      </c>
    </row>
    <row r="774" spans="1:30" hidden="1">
      <c r="A774" s="2" t="s">
        <v>3528</v>
      </c>
      <c r="B774" s="3">
        <v>44677</v>
      </c>
      <c r="C774" s="2" t="s">
        <v>2135</v>
      </c>
      <c r="D774" s="2" t="s">
        <v>2113</v>
      </c>
      <c r="E774" s="2" t="s">
        <v>99</v>
      </c>
      <c r="F774" s="1" t="s">
        <v>34</v>
      </c>
      <c r="G774" s="46" t="s">
        <v>3583</v>
      </c>
      <c r="H774" s="2" t="s">
        <v>131</v>
      </c>
      <c r="I774" s="10"/>
      <c r="L774" s="5">
        <v>30000</v>
      </c>
      <c r="M774" s="2" t="s">
        <v>167</v>
      </c>
      <c r="N774" s="2" t="s">
        <v>48</v>
      </c>
      <c r="O774" s="2" t="s">
        <v>3584</v>
      </c>
      <c r="Q774" s="157" t="s">
        <v>3585</v>
      </c>
      <c r="R774" s="2">
        <v>55108</v>
      </c>
      <c r="S774" s="2">
        <v>44.972749999999998</v>
      </c>
      <c r="T774" s="2">
        <v>-93.168999999999997</v>
      </c>
      <c r="V774" s="46"/>
      <c r="W774" s="29"/>
      <c r="AC774" s="2" t="s">
        <v>51</v>
      </c>
      <c r="AD774" s="2">
        <f t="shared" si="12"/>
        <v>2022</v>
      </c>
    </row>
    <row r="775" spans="1:30" hidden="1">
      <c r="A775" s="2" t="s">
        <v>3528</v>
      </c>
      <c r="B775" s="3">
        <v>44678</v>
      </c>
      <c r="C775" s="2" t="s">
        <v>3586</v>
      </c>
      <c r="D775" s="2" t="s">
        <v>528</v>
      </c>
      <c r="E775" s="2" t="s">
        <v>66</v>
      </c>
      <c r="F775" s="1" t="s">
        <v>34</v>
      </c>
      <c r="G775" s="46" t="s">
        <v>3587</v>
      </c>
      <c r="H775" s="2" t="s">
        <v>2079</v>
      </c>
      <c r="I775" s="11">
        <v>8500000</v>
      </c>
      <c r="L775" s="177">
        <v>89961</v>
      </c>
      <c r="N775" s="2" t="s">
        <v>77</v>
      </c>
      <c r="O775" s="2" t="s">
        <v>3588</v>
      </c>
      <c r="Q775" s="178" t="s">
        <v>3589</v>
      </c>
      <c r="R775" s="2">
        <v>55437</v>
      </c>
      <c r="S775" s="2">
        <v>44.851387000000003</v>
      </c>
      <c r="T775" s="2">
        <v>-93.350631000000007</v>
      </c>
      <c r="W775" s="11"/>
      <c r="AC775" s="2" t="s">
        <v>51</v>
      </c>
      <c r="AD775" s="2">
        <f t="shared" si="12"/>
        <v>2022</v>
      </c>
    </row>
    <row r="776" spans="1:30" hidden="1">
      <c r="A776" s="2" t="s">
        <v>3528</v>
      </c>
      <c r="B776" s="3">
        <v>44679</v>
      </c>
      <c r="C776" s="2" t="s">
        <v>3590</v>
      </c>
      <c r="D776" s="2" t="s">
        <v>2594</v>
      </c>
      <c r="E776" s="2" t="s">
        <v>572</v>
      </c>
      <c r="F776" s="1" t="s">
        <v>34</v>
      </c>
      <c r="G776" s="46" t="s">
        <v>3591</v>
      </c>
      <c r="H776" s="2" t="s">
        <v>131</v>
      </c>
      <c r="I776" s="10">
        <v>20000000</v>
      </c>
      <c r="J776" s="5">
        <v>45</v>
      </c>
      <c r="L776" s="5">
        <v>45000</v>
      </c>
      <c r="M776" s="1" t="s">
        <v>47</v>
      </c>
      <c r="N776" s="2" t="s">
        <v>48</v>
      </c>
      <c r="O776" s="2" t="s">
        <v>3592</v>
      </c>
      <c r="Q776" s="157" t="s">
        <v>3593</v>
      </c>
      <c r="R776" s="2">
        <v>55328</v>
      </c>
      <c r="S776" s="2">
        <v>45.061709</v>
      </c>
      <c r="T776" s="2">
        <v>-93.809645000000003</v>
      </c>
      <c r="V776" s="46"/>
      <c r="W776" s="29"/>
      <c r="AC776" s="2" t="s">
        <v>41</v>
      </c>
      <c r="AD776" s="2">
        <f t="shared" si="12"/>
        <v>2022</v>
      </c>
    </row>
    <row r="777" spans="1:30" hidden="1">
      <c r="A777" s="2" t="s">
        <v>3528</v>
      </c>
      <c r="B777" s="42">
        <v>44680</v>
      </c>
      <c r="C777" s="172" t="s">
        <v>3594</v>
      </c>
      <c r="D777" s="46" t="s">
        <v>65</v>
      </c>
      <c r="E777" s="2" t="s">
        <v>66</v>
      </c>
      <c r="F777" s="1" t="s">
        <v>34</v>
      </c>
      <c r="G777" s="2" t="s">
        <v>3595</v>
      </c>
      <c r="H777" s="2" t="s">
        <v>2108</v>
      </c>
      <c r="I777" s="11"/>
      <c r="L777" s="5">
        <v>500000</v>
      </c>
      <c r="M777" s="2" t="s">
        <v>2109</v>
      </c>
      <c r="N777" s="2" t="s">
        <v>37</v>
      </c>
      <c r="O777" s="2" t="s">
        <v>3596</v>
      </c>
      <c r="Q777" s="157" t="s">
        <v>190</v>
      </c>
      <c r="R777" s="2">
        <v>55407</v>
      </c>
      <c r="S777" s="2">
        <v>44.954582000000002</v>
      </c>
      <c r="T777" s="2">
        <v>-93.261308999999997</v>
      </c>
      <c r="AC777" s="2" t="s">
        <v>51</v>
      </c>
      <c r="AD777" s="2">
        <f t="shared" si="12"/>
        <v>2022</v>
      </c>
    </row>
    <row r="778" spans="1:30" hidden="1">
      <c r="A778" s="2" t="s">
        <v>3528</v>
      </c>
      <c r="B778" s="3">
        <v>44681</v>
      </c>
      <c r="C778" s="2" t="s">
        <v>3597</v>
      </c>
      <c r="D778" s="172" t="s">
        <v>1501</v>
      </c>
      <c r="E778" s="2" t="s">
        <v>677</v>
      </c>
      <c r="F778" s="1" t="s">
        <v>34</v>
      </c>
      <c r="G778" s="46" t="s">
        <v>3598</v>
      </c>
      <c r="H778" s="2" t="s">
        <v>2336</v>
      </c>
      <c r="I778" s="10">
        <f>10000000+360000</f>
        <v>10360000</v>
      </c>
      <c r="M778" s="2" t="s">
        <v>154</v>
      </c>
      <c r="N778" s="2" t="s">
        <v>86</v>
      </c>
      <c r="O778" s="2" t="s">
        <v>3599</v>
      </c>
      <c r="P778" s="2" t="s">
        <v>2269</v>
      </c>
      <c r="Q778" s="2" t="s">
        <v>3600</v>
      </c>
      <c r="R778" s="2">
        <v>55433</v>
      </c>
      <c r="S778" s="2">
        <v>45.133315000000003</v>
      </c>
      <c r="T778" s="2">
        <v>-93.274990000000003</v>
      </c>
      <c r="V778" s="46"/>
      <c r="W778" s="29"/>
      <c r="AC778" s="2" t="s">
        <v>51</v>
      </c>
      <c r="AD778" s="2">
        <f t="shared" si="12"/>
        <v>2022</v>
      </c>
    </row>
    <row r="779" spans="1:30" hidden="1">
      <c r="A779" s="2" t="s">
        <v>3528</v>
      </c>
      <c r="B779" s="3">
        <v>44684</v>
      </c>
      <c r="C779" s="2" t="s">
        <v>3601</v>
      </c>
      <c r="D779" s="2" t="s">
        <v>2113</v>
      </c>
      <c r="E779" s="2" t="s">
        <v>99</v>
      </c>
      <c r="F779" s="1" t="s">
        <v>34</v>
      </c>
      <c r="G779" s="46" t="s">
        <v>3602</v>
      </c>
      <c r="H779" s="2" t="s">
        <v>3231</v>
      </c>
      <c r="I779" s="10">
        <v>10550000</v>
      </c>
      <c r="L779" s="5">
        <v>89718</v>
      </c>
      <c r="N779" s="2" t="s">
        <v>313</v>
      </c>
      <c r="O779" s="2" t="s">
        <v>3603</v>
      </c>
      <c r="Q779" s="2" t="s">
        <v>3604</v>
      </c>
      <c r="R779" s="2">
        <v>55103</v>
      </c>
      <c r="S779" s="2">
        <v>44.960968000000001</v>
      </c>
      <c r="T779" s="2">
        <v>-93.106217999999998</v>
      </c>
      <c r="V779" s="46"/>
      <c r="W779" s="29"/>
      <c r="AC779" s="2" t="s">
        <v>51</v>
      </c>
      <c r="AD779" s="2">
        <f t="shared" si="12"/>
        <v>2022</v>
      </c>
    </row>
    <row r="780" spans="1:30" hidden="1">
      <c r="A780" s="2" t="s">
        <v>3528</v>
      </c>
      <c r="B780" s="3">
        <v>44687</v>
      </c>
      <c r="C780" s="2" t="s">
        <v>3605</v>
      </c>
      <c r="D780" s="2" t="s">
        <v>65</v>
      </c>
      <c r="E780" s="2" t="s">
        <v>66</v>
      </c>
      <c r="F780" s="1" t="s">
        <v>34</v>
      </c>
      <c r="G780" s="46" t="s">
        <v>3606</v>
      </c>
      <c r="H780" s="2" t="s">
        <v>3607</v>
      </c>
      <c r="I780" s="11"/>
      <c r="M780" s="2" t="s">
        <v>3608</v>
      </c>
      <c r="N780" s="2" t="s">
        <v>241</v>
      </c>
      <c r="O780" s="2" t="s">
        <v>3609</v>
      </c>
      <c r="Q780" s="157" t="s">
        <v>3610</v>
      </c>
      <c r="R780" s="2">
        <v>55401</v>
      </c>
      <c r="S780" s="2">
        <v>44.985881999999997</v>
      </c>
      <c r="T780" s="2">
        <v>-93.280688999999995</v>
      </c>
      <c r="W780" s="11"/>
      <c r="AC780" s="2" t="s">
        <v>51</v>
      </c>
      <c r="AD780" s="2">
        <f t="shared" si="12"/>
        <v>2022</v>
      </c>
    </row>
    <row r="781" spans="1:30" hidden="1">
      <c r="A781" s="2" t="s">
        <v>3528</v>
      </c>
      <c r="B781" s="3">
        <v>44690</v>
      </c>
      <c r="C781" s="2" t="s">
        <v>3611</v>
      </c>
      <c r="D781" s="2" t="s">
        <v>448</v>
      </c>
      <c r="E781" s="2" t="s">
        <v>66</v>
      </c>
      <c r="F781" s="1" t="s">
        <v>34</v>
      </c>
      <c r="G781" s="46" t="s">
        <v>3612</v>
      </c>
      <c r="H781" s="2" t="s">
        <v>2079</v>
      </c>
      <c r="I781" s="11"/>
      <c r="J781" s="5">
        <v>50</v>
      </c>
      <c r="L781" s="5">
        <v>3000</v>
      </c>
      <c r="M781" s="2" t="s">
        <v>1245</v>
      </c>
      <c r="N781" s="2" t="s">
        <v>86</v>
      </c>
      <c r="O781" s="2" t="s">
        <v>3613</v>
      </c>
      <c r="Q781" s="2" t="s">
        <v>3614</v>
      </c>
      <c r="R781" s="2">
        <v>55344</v>
      </c>
      <c r="S781" s="2">
        <v>44.861947000000001</v>
      </c>
      <c r="T781" s="2">
        <v>-93.418305000000004</v>
      </c>
      <c r="W781" s="11"/>
      <c r="AC781" s="2" t="s">
        <v>51</v>
      </c>
      <c r="AD781" s="2">
        <f t="shared" si="12"/>
        <v>2022</v>
      </c>
    </row>
    <row r="782" spans="1:30" hidden="1">
      <c r="A782" s="2" t="s">
        <v>3528</v>
      </c>
      <c r="B782" s="3">
        <v>44690</v>
      </c>
      <c r="C782" s="1" t="s">
        <v>499</v>
      </c>
      <c r="D782" s="2" t="s">
        <v>688</v>
      </c>
      <c r="E782" s="2" t="s">
        <v>66</v>
      </c>
      <c r="F782" s="1" t="s">
        <v>34</v>
      </c>
      <c r="G782" s="46" t="s">
        <v>3615</v>
      </c>
      <c r="H782" s="2" t="s">
        <v>131</v>
      </c>
      <c r="I782" s="11">
        <v>13000000</v>
      </c>
      <c r="J782" s="5">
        <v>100</v>
      </c>
      <c r="L782" s="5">
        <v>225000</v>
      </c>
      <c r="M782" s="2" t="s">
        <v>93</v>
      </c>
      <c r="N782" s="2" t="s">
        <v>48</v>
      </c>
      <c r="O782" s="2" t="s">
        <v>3616</v>
      </c>
      <c r="Q782" s="2" t="s">
        <v>3617</v>
      </c>
      <c r="R782" s="2">
        <v>55374</v>
      </c>
      <c r="S782" s="2">
        <v>45.199407999999998</v>
      </c>
      <c r="T782" s="2">
        <v>-93.530896999999996</v>
      </c>
      <c r="W782" s="11"/>
      <c r="X782" s="2" t="s">
        <v>2319</v>
      </c>
      <c r="Y782" s="2" t="s">
        <v>3618</v>
      </c>
      <c r="AB782" s="2" t="s">
        <v>3619</v>
      </c>
      <c r="AC782" s="2" t="s">
        <v>51</v>
      </c>
      <c r="AD782" s="2">
        <f t="shared" si="12"/>
        <v>2022</v>
      </c>
    </row>
    <row r="783" spans="1:30" hidden="1">
      <c r="A783" s="2" t="s">
        <v>3528</v>
      </c>
      <c r="B783" s="3">
        <v>44692</v>
      </c>
      <c r="C783" s="2" t="s">
        <v>3620</v>
      </c>
      <c r="D783" s="2" t="s">
        <v>3243</v>
      </c>
      <c r="E783" s="2" t="s">
        <v>74</v>
      </c>
      <c r="F783" s="1" t="s">
        <v>34</v>
      </c>
      <c r="G783" s="46" t="s">
        <v>3621</v>
      </c>
      <c r="H783" s="2" t="s">
        <v>131</v>
      </c>
      <c r="I783" s="10">
        <v>75000000</v>
      </c>
      <c r="M783" s="2" t="s">
        <v>3622</v>
      </c>
      <c r="N783" s="2" t="s">
        <v>48</v>
      </c>
      <c r="O783" s="2" t="s">
        <v>3623</v>
      </c>
      <c r="Q783" s="157" t="s">
        <v>3624</v>
      </c>
      <c r="R783" s="2">
        <v>55068</v>
      </c>
      <c r="S783" s="2">
        <v>44.764335000000003</v>
      </c>
      <c r="T783" s="2">
        <v>-93.039353000000006</v>
      </c>
      <c r="V783" s="46"/>
      <c r="W783" s="29"/>
      <c r="AC783" s="2" t="s">
        <v>51</v>
      </c>
      <c r="AD783" s="2">
        <f t="shared" si="12"/>
        <v>2022</v>
      </c>
    </row>
    <row r="784" spans="1:30" hidden="1">
      <c r="A784" s="2" t="s">
        <v>3528</v>
      </c>
      <c r="B784" s="3">
        <v>44697</v>
      </c>
      <c r="C784" s="2" t="s">
        <v>3625</v>
      </c>
      <c r="D784" s="2" t="s">
        <v>776</v>
      </c>
      <c r="E784" s="2" t="s">
        <v>66</v>
      </c>
      <c r="F784" s="1" t="s">
        <v>34</v>
      </c>
      <c r="G784" s="46" t="s">
        <v>3626</v>
      </c>
      <c r="I784" s="10"/>
      <c r="L784" s="5">
        <v>17000</v>
      </c>
      <c r="M784" s="2" t="s">
        <v>2521</v>
      </c>
      <c r="N784" s="2" t="s">
        <v>140</v>
      </c>
      <c r="O784" s="2" t="s">
        <v>3627</v>
      </c>
      <c r="Q784" s="157" t="s">
        <v>3628</v>
      </c>
      <c r="R784" s="2">
        <v>55439</v>
      </c>
      <c r="S784" s="2">
        <v>44.874363000000002</v>
      </c>
      <c r="T784" s="2">
        <v>-93.352233999999996</v>
      </c>
      <c r="V784" s="46"/>
      <c r="W784" s="29"/>
      <c r="Y784" s="2" t="s">
        <v>3625</v>
      </c>
      <c r="AA784" s="2" t="s">
        <v>1309</v>
      </c>
      <c r="AB784" s="2" t="s">
        <v>757</v>
      </c>
      <c r="AC784" s="2" t="s">
        <v>51</v>
      </c>
      <c r="AD784" s="2">
        <f t="shared" si="12"/>
        <v>2022</v>
      </c>
    </row>
    <row r="785" spans="1:30" hidden="1">
      <c r="A785" s="2" t="s">
        <v>3528</v>
      </c>
      <c r="B785" s="3">
        <v>44697</v>
      </c>
      <c r="C785" s="2" t="s">
        <v>604</v>
      </c>
      <c r="D785" s="2" t="s">
        <v>776</v>
      </c>
      <c r="E785" s="2" t="s">
        <v>66</v>
      </c>
      <c r="F785" s="1" t="s">
        <v>34</v>
      </c>
      <c r="G785" s="46" t="s">
        <v>3629</v>
      </c>
      <c r="H785" s="2" t="s">
        <v>131</v>
      </c>
      <c r="I785" s="10"/>
      <c r="L785" s="5">
        <v>13000</v>
      </c>
      <c r="M785" s="2" t="s">
        <v>167</v>
      </c>
      <c r="N785" s="2" t="s">
        <v>48</v>
      </c>
      <c r="O785" s="2" t="s">
        <v>3627</v>
      </c>
      <c r="Q785" s="157" t="s">
        <v>3628</v>
      </c>
      <c r="R785" s="2">
        <v>55439</v>
      </c>
      <c r="S785" s="2">
        <v>44.874363000000002</v>
      </c>
      <c r="T785" s="2">
        <v>-93.352233999999996</v>
      </c>
      <c r="V785" s="46"/>
      <c r="W785" s="29"/>
      <c r="AC785" s="2" t="s">
        <v>51</v>
      </c>
      <c r="AD785" s="2">
        <f t="shared" si="12"/>
        <v>2022</v>
      </c>
    </row>
    <row r="786" spans="1:30" hidden="1">
      <c r="A786" s="2" t="s">
        <v>3528</v>
      </c>
      <c r="B786" s="3">
        <v>44698</v>
      </c>
      <c r="C786" s="2" t="s">
        <v>3630</v>
      </c>
      <c r="D786" s="2" t="s">
        <v>65</v>
      </c>
      <c r="E786" s="2" t="s">
        <v>66</v>
      </c>
      <c r="F786" s="1" t="s">
        <v>34</v>
      </c>
      <c r="G786" s="46" t="s">
        <v>3631</v>
      </c>
      <c r="H786" s="2" t="s">
        <v>2079</v>
      </c>
      <c r="I786" s="11"/>
      <c r="L786" s="5">
        <v>11000</v>
      </c>
      <c r="M786" s="2" t="s">
        <v>318</v>
      </c>
      <c r="N786" s="2" t="s">
        <v>86</v>
      </c>
      <c r="O786" s="2" t="s">
        <v>3632</v>
      </c>
      <c r="Q786" s="2" t="s">
        <v>3633</v>
      </c>
      <c r="R786" s="2">
        <v>55402</v>
      </c>
      <c r="S786" s="2">
        <v>44.976925000000001</v>
      </c>
      <c r="T786" s="2">
        <v>-93.270819000000003</v>
      </c>
      <c r="W786" s="11"/>
      <c r="AC786" s="2" t="s">
        <v>51</v>
      </c>
      <c r="AD786" s="2">
        <f t="shared" si="12"/>
        <v>2022</v>
      </c>
    </row>
    <row r="787" spans="1:30" hidden="1">
      <c r="A787" s="2" t="s">
        <v>3528</v>
      </c>
      <c r="B787" s="3">
        <v>44704</v>
      </c>
      <c r="C787" s="2" t="s">
        <v>3634</v>
      </c>
      <c r="D787" s="2" t="s">
        <v>3397</v>
      </c>
      <c r="E787" s="2" t="s">
        <v>3388</v>
      </c>
      <c r="F787" s="1" t="s">
        <v>34</v>
      </c>
      <c r="G787" s="46" t="s">
        <v>3635</v>
      </c>
      <c r="H787" s="2" t="s">
        <v>131</v>
      </c>
      <c r="I787" s="10">
        <v>100000000</v>
      </c>
      <c r="J787" s="5">
        <v>150</v>
      </c>
      <c r="M787" s="2" t="s">
        <v>2165</v>
      </c>
      <c r="N787" s="2" t="s">
        <v>48</v>
      </c>
      <c r="O787" s="2" t="s">
        <v>3636</v>
      </c>
      <c r="Q787" s="157" t="s">
        <v>3637</v>
      </c>
      <c r="R787" s="2">
        <v>55744</v>
      </c>
      <c r="S787" s="2">
        <v>47.302222</v>
      </c>
      <c r="T787" s="2">
        <v>-93.456272999999996</v>
      </c>
      <c r="V787" s="46"/>
      <c r="W787" s="29"/>
      <c r="AC787" s="2" t="s">
        <v>97</v>
      </c>
      <c r="AD787" s="2">
        <f t="shared" si="12"/>
        <v>2022</v>
      </c>
    </row>
    <row r="788" spans="1:30" hidden="1">
      <c r="A788" s="2" t="s">
        <v>3528</v>
      </c>
      <c r="B788" s="3">
        <v>44705</v>
      </c>
      <c r="C788" s="2" t="s">
        <v>3529</v>
      </c>
      <c r="D788" s="2" t="s">
        <v>2871</v>
      </c>
      <c r="E788" s="2" t="s">
        <v>1557</v>
      </c>
      <c r="F788" s="1" t="s">
        <v>34</v>
      </c>
      <c r="G788" s="46" t="s">
        <v>3638</v>
      </c>
      <c r="H788" s="2" t="s">
        <v>131</v>
      </c>
      <c r="I788" s="11"/>
      <c r="L788" s="5">
        <v>255000</v>
      </c>
      <c r="M788" s="2" t="s">
        <v>496</v>
      </c>
      <c r="N788" s="2" t="s">
        <v>48</v>
      </c>
      <c r="O788" s="2" t="s">
        <v>3639</v>
      </c>
      <c r="Q788" s="2" t="s">
        <v>3640</v>
      </c>
      <c r="R788" s="2">
        <v>55056</v>
      </c>
      <c r="S788" s="2">
        <v>45.528328999999999</v>
      </c>
      <c r="T788" s="2">
        <v>-92.976517000000001</v>
      </c>
      <c r="W788" s="11"/>
      <c r="AC788" s="2" t="s">
        <v>41</v>
      </c>
      <c r="AD788" s="2">
        <f t="shared" si="12"/>
        <v>2022</v>
      </c>
    </row>
    <row r="789" spans="1:30" hidden="1">
      <c r="A789" s="2" t="s">
        <v>3528</v>
      </c>
      <c r="B789" s="3">
        <v>44705</v>
      </c>
      <c r="C789" s="2" t="s">
        <v>3641</v>
      </c>
      <c r="D789" s="2" t="s">
        <v>65</v>
      </c>
      <c r="E789" s="2" t="s">
        <v>66</v>
      </c>
      <c r="F789" s="1" t="s">
        <v>34</v>
      </c>
      <c r="G789" s="46" t="s">
        <v>3642</v>
      </c>
      <c r="H789" s="2" t="s">
        <v>188</v>
      </c>
      <c r="I789" s="10">
        <v>4915000</v>
      </c>
      <c r="L789" s="5">
        <v>68260</v>
      </c>
      <c r="M789" s="2" t="s">
        <v>665</v>
      </c>
      <c r="N789" s="2" t="s">
        <v>103</v>
      </c>
      <c r="O789" s="2" t="s">
        <v>3643</v>
      </c>
      <c r="Q789" s="2" t="s">
        <v>3644</v>
      </c>
      <c r="R789" s="2">
        <v>55413</v>
      </c>
      <c r="S789" s="2">
        <v>44.994647999999998</v>
      </c>
      <c r="T789" s="2">
        <v>-93.218721000000002</v>
      </c>
      <c r="V789" s="46"/>
      <c r="W789" s="29"/>
      <c r="AC789" s="2" t="s">
        <v>51</v>
      </c>
      <c r="AD789" s="2">
        <f t="shared" si="12"/>
        <v>2022</v>
      </c>
    </row>
    <row r="790" spans="1:30" hidden="1">
      <c r="A790" s="2" t="s">
        <v>3528</v>
      </c>
      <c r="B790" s="3">
        <v>44713</v>
      </c>
      <c r="C790" s="2" t="s">
        <v>442</v>
      </c>
      <c r="D790" s="2" t="s">
        <v>3645</v>
      </c>
      <c r="E790" s="2" t="s">
        <v>677</v>
      </c>
      <c r="F790" s="2" t="s">
        <v>34</v>
      </c>
      <c r="G790" s="46" t="s">
        <v>3646</v>
      </c>
      <c r="H790" s="2" t="s">
        <v>3231</v>
      </c>
      <c r="I790" s="11">
        <f>5000000+6670000+30000000</f>
        <v>41670000</v>
      </c>
      <c r="J790" s="5">
        <v>600</v>
      </c>
      <c r="L790" s="5">
        <v>140000</v>
      </c>
      <c r="N790" s="2" t="s">
        <v>253</v>
      </c>
      <c r="O790" s="2" t="s">
        <v>3647</v>
      </c>
      <c r="Q790" s="157" t="s">
        <v>3648</v>
      </c>
      <c r="R790" s="2">
        <v>55038</v>
      </c>
      <c r="S790" s="2">
        <v>45.148580000000003</v>
      </c>
      <c r="T790" s="2">
        <v>-93.035349999999994</v>
      </c>
      <c r="W790" s="11"/>
      <c r="AC790" s="2" t="s">
        <v>51</v>
      </c>
      <c r="AD790" s="2">
        <f t="shared" si="12"/>
        <v>2022</v>
      </c>
    </row>
    <row r="791" spans="1:30" hidden="1">
      <c r="A791" s="2" t="s">
        <v>3528</v>
      </c>
      <c r="B791" s="176">
        <v>44715</v>
      </c>
      <c r="C791" s="172" t="s">
        <v>3649</v>
      </c>
      <c r="D791" s="172" t="s">
        <v>776</v>
      </c>
      <c r="E791" s="2" t="s">
        <v>66</v>
      </c>
      <c r="F791" s="1" t="s">
        <v>34</v>
      </c>
      <c r="G791" s="46" t="s">
        <v>3650</v>
      </c>
      <c r="H791" s="2" t="s">
        <v>3651</v>
      </c>
      <c r="I791" s="11"/>
      <c r="M791" s="2" t="s">
        <v>148</v>
      </c>
      <c r="N791" s="2" t="s">
        <v>48</v>
      </c>
      <c r="O791" s="2" t="s">
        <v>3652</v>
      </c>
      <c r="Q791" s="157" t="s">
        <v>3653</v>
      </c>
      <c r="R791" s="2">
        <v>55439</v>
      </c>
      <c r="S791" s="2">
        <v>44.862301000000002</v>
      </c>
      <c r="T791" s="2">
        <v>-93.396859000000006</v>
      </c>
      <c r="W791" s="11"/>
      <c r="Y791" s="172" t="s">
        <v>3649</v>
      </c>
      <c r="AB791" s="2" t="s">
        <v>290</v>
      </c>
      <c r="AC791" s="2" t="s">
        <v>51</v>
      </c>
      <c r="AD791" s="2">
        <f t="shared" si="12"/>
        <v>2022</v>
      </c>
    </row>
    <row r="792" spans="1:30" hidden="1">
      <c r="A792" s="2" t="s">
        <v>3528</v>
      </c>
      <c r="B792" s="3">
        <v>44725</v>
      </c>
      <c r="C792" s="172" t="s">
        <v>3654</v>
      </c>
      <c r="D792" s="172" t="s">
        <v>528</v>
      </c>
      <c r="E792" s="2" t="s">
        <v>66</v>
      </c>
      <c r="F792" s="1" t="s">
        <v>34</v>
      </c>
      <c r="G792" s="46" t="s">
        <v>3655</v>
      </c>
      <c r="I792" s="10"/>
      <c r="J792" s="5">
        <v>100</v>
      </c>
      <c r="M792" s="2" t="s">
        <v>159</v>
      </c>
      <c r="N792" s="2" t="s">
        <v>86</v>
      </c>
      <c r="O792" s="2" t="s">
        <v>3656</v>
      </c>
      <c r="Q792" s="157" t="s">
        <v>3657</v>
      </c>
      <c r="R792" s="2">
        <v>55437</v>
      </c>
      <c r="S792" s="2">
        <v>44.853110000000001</v>
      </c>
      <c r="T792" s="2">
        <v>-93.353234999999998</v>
      </c>
      <c r="V792" s="46"/>
      <c r="W792" s="29"/>
      <c r="Y792" s="2" t="s">
        <v>3658</v>
      </c>
      <c r="AB792" s="2" t="s">
        <v>1711</v>
      </c>
      <c r="AC792" s="2" t="s">
        <v>51</v>
      </c>
      <c r="AD792" s="2">
        <f t="shared" si="12"/>
        <v>2022</v>
      </c>
    </row>
    <row r="793" spans="1:30" hidden="1">
      <c r="A793" s="2" t="s">
        <v>3528</v>
      </c>
      <c r="B793" s="3">
        <v>44741</v>
      </c>
      <c r="C793" s="172" t="s">
        <v>3594</v>
      </c>
      <c r="D793" s="172" t="s">
        <v>3292</v>
      </c>
      <c r="E793" s="2" t="s">
        <v>3659</v>
      </c>
      <c r="F793" s="1" t="s">
        <v>34</v>
      </c>
      <c r="G793" s="46" t="s">
        <v>3660</v>
      </c>
      <c r="H793" s="2" t="s">
        <v>2108</v>
      </c>
      <c r="I793" s="10">
        <v>150000000</v>
      </c>
      <c r="M793" s="2" t="s">
        <v>2109</v>
      </c>
      <c r="N793" s="2" t="s">
        <v>37</v>
      </c>
      <c r="O793" s="2" t="s">
        <v>3661</v>
      </c>
      <c r="Q793" s="2" t="s">
        <v>3662</v>
      </c>
      <c r="R793" s="2">
        <v>55008</v>
      </c>
      <c r="S793" s="2">
        <v>44.966217153435203</v>
      </c>
      <c r="T793" s="2">
        <v>-93.269637236841206</v>
      </c>
      <c r="V793" s="46"/>
      <c r="W793" s="29"/>
      <c r="AC793" s="2" t="s">
        <v>41</v>
      </c>
      <c r="AD793" s="2">
        <f t="shared" si="12"/>
        <v>2022</v>
      </c>
    </row>
    <row r="794" spans="1:30" hidden="1">
      <c r="A794" s="2" t="s">
        <v>3444</v>
      </c>
      <c r="B794" s="42">
        <v>44747</v>
      </c>
      <c r="C794" s="2" t="s">
        <v>2188</v>
      </c>
      <c r="D794" s="2" t="s">
        <v>528</v>
      </c>
      <c r="E794" s="2" t="s">
        <v>66</v>
      </c>
      <c r="F794" s="1" t="s">
        <v>34</v>
      </c>
      <c r="G794" s="2" t="s">
        <v>3663</v>
      </c>
      <c r="H794" s="2" t="s">
        <v>131</v>
      </c>
      <c r="I794" s="57">
        <v>734428</v>
      </c>
      <c r="J794" s="33"/>
      <c r="M794" s="2" t="s">
        <v>450</v>
      </c>
      <c r="N794" s="2" t="s">
        <v>48</v>
      </c>
      <c r="O794" s="7" t="s">
        <v>2084</v>
      </c>
      <c r="P794" s="2" t="s">
        <v>2375</v>
      </c>
      <c r="Q794" s="2" t="s">
        <v>3664</v>
      </c>
      <c r="R794" s="2">
        <v>55431</v>
      </c>
      <c r="S794" s="2">
        <v>44.832580999999998</v>
      </c>
      <c r="T794" s="2">
        <v>-93.299891000000002</v>
      </c>
      <c r="W794" s="9"/>
      <c r="AC794" s="2" t="s">
        <v>51</v>
      </c>
      <c r="AD794" s="2">
        <f t="shared" si="12"/>
        <v>2022</v>
      </c>
    </row>
    <row r="795" spans="1:30" hidden="1">
      <c r="A795" s="2" t="s">
        <v>3444</v>
      </c>
      <c r="B795" s="3">
        <v>44747</v>
      </c>
      <c r="C795" s="2" t="s">
        <v>3594</v>
      </c>
      <c r="D795" s="2" t="s">
        <v>546</v>
      </c>
      <c r="E795" s="2" t="s">
        <v>74</v>
      </c>
      <c r="F795" s="1" t="s">
        <v>34</v>
      </c>
      <c r="G795" s="2" t="s">
        <v>3665</v>
      </c>
      <c r="H795" s="2" t="s">
        <v>2108</v>
      </c>
      <c r="I795" s="10"/>
      <c r="L795" s="5">
        <v>78500</v>
      </c>
      <c r="M795" s="2" t="s">
        <v>2109</v>
      </c>
      <c r="N795" s="2" t="s">
        <v>37</v>
      </c>
      <c r="O795" s="2" t="s">
        <v>3666</v>
      </c>
      <c r="P795" s="2" t="s">
        <v>3667</v>
      </c>
      <c r="Q795" s="2" t="s">
        <v>3668</v>
      </c>
      <c r="R795" s="2">
        <v>55044</v>
      </c>
      <c r="S795" s="2">
        <v>44.681212000000002</v>
      </c>
      <c r="T795" s="2">
        <v>-93.318324000000004</v>
      </c>
      <c r="V795" s="46"/>
      <c r="W795" s="29"/>
      <c r="AC795" s="2" t="s">
        <v>51</v>
      </c>
      <c r="AD795" s="2">
        <f t="shared" si="12"/>
        <v>2022</v>
      </c>
    </row>
    <row r="796" spans="1:30" hidden="1">
      <c r="A796" s="2" t="s">
        <v>3444</v>
      </c>
      <c r="B796" s="42">
        <v>44747</v>
      </c>
      <c r="C796" s="2" t="s">
        <v>3669</v>
      </c>
      <c r="D796" s="2" t="s">
        <v>448</v>
      </c>
      <c r="E796" s="2" t="s">
        <v>66</v>
      </c>
      <c r="F796" s="1" t="s">
        <v>34</v>
      </c>
      <c r="G796" s="2" t="s">
        <v>3670</v>
      </c>
      <c r="H796" s="2" t="s">
        <v>2079</v>
      </c>
      <c r="I796" s="57">
        <v>8000000</v>
      </c>
      <c r="L796" s="5">
        <v>93350</v>
      </c>
      <c r="N796" s="2" t="s">
        <v>69</v>
      </c>
      <c r="O796" s="2" t="s">
        <v>3671</v>
      </c>
      <c r="P796" s="2" t="s">
        <v>647</v>
      </c>
      <c r="Q796" s="2" t="s">
        <v>3672</v>
      </c>
      <c r="R796" s="2">
        <v>55344</v>
      </c>
      <c r="S796" s="2">
        <v>44.866788999999997</v>
      </c>
      <c r="T796" s="2">
        <v>-93.408044000000004</v>
      </c>
      <c r="AC796" s="2" t="s">
        <v>51</v>
      </c>
      <c r="AD796" s="2">
        <f t="shared" si="12"/>
        <v>2022</v>
      </c>
    </row>
    <row r="797" spans="1:30" hidden="1">
      <c r="A797" s="2" t="s">
        <v>3444</v>
      </c>
      <c r="B797" s="42">
        <v>44750</v>
      </c>
      <c r="C797" s="2" t="s">
        <v>3673</v>
      </c>
      <c r="D797" s="2" t="s">
        <v>400</v>
      </c>
      <c r="E797" s="2" t="s">
        <v>572</v>
      </c>
      <c r="F797" s="2" t="s">
        <v>34</v>
      </c>
      <c r="G797" s="2" t="s">
        <v>3674</v>
      </c>
      <c r="H797" s="2" t="s">
        <v>131</v>
      </c>
      <c r="I797" s="101">
        <v>13437000</v>
      </c>
      <c r="J797" s="29">
        <v>59</v>
      </c>
      <c r="L797" s="5">
        <v>78000</v>
      </c>
      <c r="M797" s="2" t="s">
        <v>3675</v>
      </c>
      <c r="N797" s="2" t="s">
        <v>48</v>
      </c>
      <c r="O797" s="7" t="s">
        <v>3676</v>
      </c>
      <c r="P797" s="2" t="s">
        <v>3677</v>
      </c>
      <c r="Q797" s="2" t="s">
        <v>3678</v>
      </c>
      <c r="R797" s="2">
        <v>55362</v>
      </c>
      <c r="S797" s="2">
        <v>45.290906</v>
      </c>
      <c r="T797" s="2">
        <v>-93.791241999999997</v>
      </c>
      <c r="U797" s="2" t="s">
        <v>378</v>
      </c>
      <c r="V797" s="2" t="s">
        <v>3679</v>
      </c>
      <c r="W797" s="9">
        <f>880000+220000+1882000</f>
        <v>2982000</v>
      </c>
      <c r="Y797" s="2" t="s">
        <v>3680</v>
      </c>
      <c r="Z797" s="2" t="s">
        <v>3681</v>
      </c>
      <c r="AB797" s="2" t="s">
        <v>347</v>
      </c>
      <c r="AC797" s="2" t="s">
        <v>41</v>
      </c>
      <c r="AD797" s="2">
        <f t="shared" si="12"/>
        <v>2022</v>
      </c>
    </row>
    <row r="798" spans="1:30" hidden="1">
      <c r="A798" s="2" t="s">
        <v>3444</v>
      </c>
      <c r="B798" s="3">
        <v>44753</v>
      </c>
      <c r="C798" s="96" t="s">
        <v>3682</v>
      </c>
      <c r="D798" s="46" t="s">
        <v>415</v>
      </c>
      <c r="E798" s="2" t="s">
        <v>952</v>
      </c>
      <c r="F798" s="1" t="s">
        <v>34</v>
      </c>
      <c r="G798" s="2" t="s">
        <v>3683</v>
      </c>
      <c r="H798" s="2" t="s">
        <v>188</v>
      </c>
      <c r="I798" s="101">
        <v>8500000</v>
      </c>
      <c r="J798" s="33"/>
      <c r="N798" s="2" t="s">
        <v>77</v>
      </c>
      <c r="O798" s="2" t="s">
        <v>3684</v>
      </c>
      <c r="P798" s="2" t="s">
        <v>3685</v>
      </c>
      <c r="Q798" s="2" t="s">
        <v>3686</v>
      </c>
      <c r="R798" s="2">
        <v>56301</v>
      </c>
      <c r="S798" s="2">
        <v>45.46367</v>
      </c>
      <c r="T798" s="2">
        <v>-94.125707000000006</v>
      </c>
      <c r="W798" s="9"/>
      <c r="AC798" s="2" t="s">
        <v>41</v>
      </c>
      <c r="AD798" s="2">
        <f t="shared" si="12"/>
        <v>2022</v>
      </c>
    </row>
    <row r="799" spans="1:30" hidden="1">
      <c r="A799" s="2" t="s">
        <v>3444</v>
      </c>
      <c r="B799" s="42">
        <v>44754</v>
      </c>
      <c r="C799" s="2" t="s">
        <v>3687</v>
      </c>
      <c r="D799" s="2" t="s">
        <v>528</v>
      </c>
      <c r="E799" s="2" t="s">
        <v>66</v>
      </c>
      <c r="F799" s="1" t="s">
        <v>34</v>
      </c>
      <c r="G799" s="2" t="s">
        <v>3688</v>
      </c>
      <c r="H799" s="2" t="s">
        <v>2079</v>
      </c>
      <c r="I799" s="57">
        <v>500000</v>
      </c>
      <c r="J799" s="33"/>
      <c r="M799" s="2" t="s">
        <v>93</v>
      </c>
      <c r="N799" s="2" t="s">
        <v>48</v>
      </c>
      <c r="O799" s="7" t="s">
        <v>2084</v>
      </c>
      <c r="P799" s="2" t="s">
        <v>2375</v>
      </c>
      <c r="Q799" s="2" t="s">
        <v>3689</v>
      </c>
      <c r="R799" s="2">
        <v>55420</v>
      </c>
      <c r="S799" s="2">
        <v>44.857785999999997</v>
      </c>
      <c r="T799" s="2">
        <v>-93.287079000000006</v>
      </c>
      <c r="W799" s="9"/>
      <c r="AC799" s="2" t="s">
        <v>51</v>
      </c>
      <c r="AD799" s="2">
        <f t="shared" si="12"/>
        <v>2022</v>
      </c>
    </row>
    <row r="800" spans="1:30" hidden="1">
      <c r="A800" s="2" t="s">
        <v>3444</v>
      </c>
      <c r="B800" s="42">
        <v>44755</v>
      </c>
      <c r="C800" s="2" t="s">
        <v>2250</v>
      </c>
      <c r="D800" s="2" t="s">
        <v>467</v>
      </c>
      <c r="E800" s="2" t="s">
        <v>468</v>
      </c>
      <c r="F800" s="1" t="s">
        <v>34</v>
      </c>
      <c r="G800" s="2" t="s">
        <v>3690</v>
      </c>
      <c r="H800" s="2" t="s">
        <v>131</v>
      </c>
      <c r="I800" s="55"/>
      <c r="L800" s="5">
        <v>75000</v>
      </c>
      <c r="M800" s="2" t="s">
        <v>93</v>
      </c>
      <c r="N800" s="2" t="s">
        <v>48</v>
      </c>
      <c r="O800" s="2" t="s">
        <v>3691</v>
      </c>
      <c r="P800" s="2" t="s">
        <v>3667</v>
      </c>
      <c r="Q800" s="2" t="s">
        <v>3692</v>
      </c>
      <c r="R800" s="2">
        <v>55021</v>
      </c>
      <c r="S800" s="2">
        <v>44.359769</v>
      </c>
      <c r="T800" s="2">
        <v>-93.283756999999994</v>
      </c>
      <c r="W800" s="90"/>
      <c r="AC800" s="2" t="s">
        <v>120</v>
      </c>
      <c r="AD800" s="2">
        <f t="shared" si="12"/>
        <v>2022</v>
      </c>
    </row>
    <row r="801" spans="1:30" hidden="1">
      <c r="A801" s="2" t="s">
        <v>3444</v>
      </c>
      <c r="B801" s="42">
        <v>44756</v>
      </c>
      <c r="C801" s="2" t="s">
        <v>3693</v>
      </c>
      <c r="D801" s="2" t="s">
        <v>1155</v>
      </c>
      <c r="E801" s="2" t="s">
        <v>44</v>
      </c>
      <c r="F801" s="1" t="s">
        <v>34</v>
      </c>
      <c r="G801" s="2" t="s">
        <v>3694</v>
      </c>
      <c r="H801" s="2" t="s">
        <v>131</v>
      </c>
      <c r="I801" s="10"/>
      <c r="M801" s="2" t="s">
        <v>93</v>
      </c>
      <c r="N801" s="2" t="s">
        <v>48</v>
      </c>
      <c r="O801" s="2" t="s">
        <v>3695</v>
      </c>
      <c r="P801" s="2" t="s">
        <v>3693</v>
      </c>
      <c r="R801" s="2">
        <v>55128</v>
      </c>
      <c r="S801" s="2">
        <v>44.988162000000003</v>
      </c>
      <c r="T801" s="2">
        <v>-92.964045999999996</v>
      </c>
      <c r="W801" s="216"/>
      <c r="Y801" s="2" t="s">
        <v>3693</v>
      </c>
      <c r="Z801" s="2" t="s">
        <v>111</v>
      </c>
      <c r="AA801" s="2" t="s">
        <v>773</v>
      </c>
      <c r="AC801" s="2" t="s">
        <v>51</v>
      </c>
      <c r="AD801" s="2">
        <f t="shared" si="12"/>
        <v>2022</v>
      </c>
    </row>
    <row r="802" spans="1:30" hidden="1">
      <c r="A802" s="2" t="s">
        <v>3444</v>
      </c>
      <c r="B802" s="148">
        <v>44756</v>
      </c>
      <c r="C802" s="145" t="s">
        <v>3696</v>
      </c>
      <c r="D802" s="2" t="s">
        <v>65</v>
      </c>
      <c r="E802" s="2" t="s">
        <v>66</v>
      </c>
      <c r="F802" s="1" t="s">
        <v>34</v>
      </c>
      <c r="G802" s="46" t="s">
        <v>3697</v>
      </c>
      <c r="H802" s="2" t="s">
        <v>2079</v>
      </c>
      <c r="I802" s="29"/>
      <c r="M802" s="2" t="s">
        <v>3698</v>
      </c>
      <c r="N802" s="2" t="s">
        <v>48</v>
      </c>
      <c r="O802" s="2" t="s">
        <v>3699</v>
      </c>
      <c r="Q802" s="2" t="s">
        <v>3700</v>
      </c>
      <c r="R802" s="2">
        <v>55401</v>
      </c>
      <c r="S802" s="2">
        <v>44.984786</v>
      </c>
      <c r="T802" s="2">
        <v>-93.276180999999994</v>
      </c>
      <c r="V802" s="46"/>
      <c r="W802" s="29"/>
      <c r="X802" s="2" t="s">
        <v>2319</v>
      </c>
      <c r="Y802" s="145" t="s">
        <v>3696</v>
      </c>
      <c r="AB802" s="2" t="s">
        <v>3200</v>
      </c>
      <c r="AC802" s="2" t="s">
        <v>51</v>
      </c>
      <c r="AD802" s="2">
        <f t="shared" si="12"/>
        <v>2022</v>
      </c>
    </row>
    <row r="803" spans="1:30" hidden="1">
      <c r="A803" s="2" t="s">
        <v>3444</v>
      </c>
      <c r="B803" s="42">
        <v>44757</v>
      </c>
      <c r="C803" s="2" t="s">
        <v>2348</v>
      </c>
      <c r="D803" s="2" t="s">
        <v>90</v>
      </c>
      <c r="E803" s="1" t="s">
        <v>91</v>
      </c>
      <c r="F803" s="1" t="s">
        <v>34</v>
      </c>
      <c r="G803" s="2" t="s">
        <v>3701</v>
      </c>
      <c r="H803" s="2" t="s">
        <v>131</v>
      </c>
      <c r="I803" s="10"/>
      <c r="J803" s="5">
        <v>50</v>
      </c>
      <c r="L803" s="5">
        <v>16000</v>
      </c>
      <c r="M803" s="2" t="s">
        <v>417</v>
      </c>
      <c r="N803" s="2" t="s">
        <v>48</v>
      </c>
      <c r="O803" s="7" t="s">
        <v>3702</v>
      </c>
      <c r="P803" s="2" t="s">
        <v>3703</v>
      </c>
      <c r="Q803" s="2" t="s">
        <v>2351</v>
      </c>
      <c r="R803" s="2">
        <v>55811</v>
      </c>
      <c r="S803" s="2">
        <v>46.838329000000002</v>
      </c>
      <c r="T803" s="2">
        <v>-92.203635000000006</v>
      </c>
      <c r="AC803" s="2" t="s">
        <v>97</v>
      </c>
      <c r="AD803" s="2">
        <f t="shared" si="12"/>
        <v>2022</v>
      </c>
    </row>
    <row r="804" spans="1:30" hidden="1">
      <c r="A804" s="2" t="s">
        <v>3444</v>
      </c>
      <c r="B804" s="3">
        <v>44769</v>
      </c>
      <c r="C804" s="96" t="s">
        <v>3704</v>
      </c>
      <c r="D804" s="46" t="s">
        <v>174</v>
      </c>
      <c r="E804" s="2" t="s">
        <v>66</v>
      </c>
      <c r="F804" s="1" t="s">
        <v>34</v>
      </c>
      <c r="G804" s="2" t="s">
        <v>3705</v>
      </c>
      <c r="H804" s="2" t="s">
        <v>131</v>
      </c>
      <c r="I804" s="101">
        <v>4591668</v>
      </c>
      <c r="J804" s="33">
        <v>53</v>
      </c>
      <c r="L804" s="5">
        <v>100000</v>
      </c>
      <c r="M804" s="2" t="s">
        <v>167</v>
      </c>
      <c r="N804" s="2" t="s">
        <v>48</v>
      </c>
      <c r="O804" s="2" t="s">
        <v>3706</v>
      </c>
      <c r="P804" s="2" t="s">
        <v>3707</v>
      </c>
      <c r="Q804" s="2" t="s">
        <v>3708</v>
      </c>
      <c r="R804" s="2">
        <v>55445</v>
      </c>
      <c r="S804" s="2">
        <v>45.142977999999999</v>
      </c>
      <c r="T804" s="2">
        <v>-93.390713000000005</v>
      </c>
      <c r="U804" s="2" t="s">
        <v>378</v>
      </c>
      <c r="V804" s="2" t="s">
        <v>3709</v>
      </c>
      <c r="W804" s="9">
        <f>22881+1405000</f>
        <v>1427881</v>
      </c>
      <c r="Z804" s="2" t="s">
        <v>3710</v>
      </c>
      <c r="AA804" s="2" t="s">
        <v>3711</v>
      </c>
      <c r="AC804" s="2" t="s">
        <v>51</v>
      </c>
      <c r="AD804" s="2">
        <f t="shared" si="12"/>
        <v>2022</v>
      </c>
    </row>
    <row r="805" spans="1:30" hidden="1">
      <c r="A805" s="2" t="s">
        <v>3444</v>
      </c>
      <c r="B805" s="42">
        <v>44770</v>
      </c>
      <c r="C805" s="2" t="s">
        <v>3712</v>
      </c>
      <c r="D805" s="2" t="s">
        <v>340</v>
      </c>
      <c r="E805" s="2" t="s">
        <v>66</v>
      </c>
      <c r="F805" s="1" t="s">
        <v>34</v>
      </c>
      <c r="G805" s="2" t="s">
        <v>3713</v>
      </c>
      <c r="H805" s="2" t="s">
        <v>2214</v>
      </c>
      <c r="I805" s="11"/>
      <c r="L805" s="5">
        <v>168000</v>
      </c>
      <c r="M805" s="2" t="s">
        <v>93</v>
      </c>
      <c r="N805" s="2" t="s">
        <v>48</v>
      </c>
      <c r="O805" s="2" t="s">
        <v>3714</v>
      </c>
      <c r="P805" s="2" t="s">
        <v>3667</v>
      </c>
      <c r="Q805" s="2" t="s">
        <v>3715</v>
      </c>
      <c r="R805" s="2">
        <v>55447</v>
      </c>
      <c r="S805" s="2">
        <v>45.002755999999998</v>
      </c>
      <c r="T805" s="2">
        <v>-93.467070000000007</v>
      </c>
      <c r="X805" s="2" t="s">
        <v>2319</v>
      </c>
      <c r="Y805" s="2" t="s">
        <v>3712</v>
      </c>
      <c r="AB805" s="2" t="s">
        <v>3716</v>
      </c>
      <c r="AC805" s="2" t="s">
        <v>51</v>
      </c>
      <c r="AD805" s="2">
        <f t="shared" si="12"/>
        <v>2022</v>
      </c>
    </row>
    <row r="806" spans="1:30" hidden="1">
      <c r="A806" s="2" t="s">
        <v>3444</v>
      </c>
      <c r="B806" s="211">
        <v>44771</v>
      </c>
      <c r="C806" s="90" t="s">
        <v>3717</v>
      </c>
      <c r="D806" s="60" t="s">
        <v>3718</v>
      </c>
      <c r="E806" s="2" t="s">
        <v>3388</v>
      </c>
      <c r="F806" s="1" t="s">
        <v>34</v>
      </c>
      <c r="G806" s="2" t="s">
        <v>3719</v>
      </c>
      <c r="H806" s="2" t="s">
        <v>131</v>
      </c>
      <c r="I806" s="225">
        <v>150000000</v>
      </c>
      <c r="J806" s="56"/>
      <c r="M806" s="2" t="s">
        <v>2165</v>
      </c>
      <c r="N806" s="2" t="s">
        <v>48</v>
      </c>
      <c r="O806" s="7" t="s">
        <v>3720</v>
      </c>
      <c r="Q806" s="2" t="s">
        <v>3721</v>
      </c>
      <c r="R806" s="2">
        <v>55746</v>
      </c>
      <c r="S806" s="2">
        <v>47.387709999999998</v>
      </c>
      <c r="T806" s="2">
        <v>-93.086320000000001</v>
      </c>
      <c r="W806" s="90"/>
      <c r="AC806" s="2" t="s">
        <v>97</v>
      </c>
      <c r="AD806" s="2">
        <f t="shared" si="12"/>
        <v>2022</v>
      </c>
    </row>
    <row r="807" spans="1:30" hidden="1">
      <c r="A807" s="2" t="s">
        <v>3444</v>
      </c>
      <c r="B807" s="94">
        <v>44775</v>
      </c>
      <c r="C807" s="90" t="s">
        <v>3722</v>
      </c>
      <c r="D807" s="90" t="s">
        <v>3723</v>
      </c>
      <c r="E807" s="2" t="s">
        <v>66</v>
      </c>
      <c r="F807" s="1" t="s">
        <v>34</v>
      </c>
      <c r="G807" s="2" t="s">
        <v>3724</v>
      </c>
      <c r="H807" s="2" t="s">
        <v>131</v>
      </c>
      <c r="I807" s="55"/>
      <c r="J807" s="56"/>
      <c r="M807" s="2" t="s">
        <v>417</v>
      </c>
      <c r="N807" s="2" t="s">
        <v>48</v>
      </c>
      <c r="O807" s="2" t="s">
        <v>3725</v>
      </c>
      <c r="P807" s="2" t="s">
        <v>3667</v>
      </c>
      <c r="Q807" s="2" t="s">
        <v>3726</v>
      </c>
      <c r="R807" s="2">
        <v>55311</v>
      </c>
      <c r="S807" s="2">
        <v>45.124262999999999</v>
      </c>
      <c r="T807" s="2">
        <v>-93.499583000000001</v>
      </c>
      <c r="U807" s="2" t="s">
        <v>143</v>
      </c>
      <c r="W807" s="90"/>
      <c r="AC807" s="2" t="s">
        <v>51</v>
      </c>
      <c r="AD807" s="2">
        <f t="shared" si="12"/>
        <v>2022</v>
      </c>
    </row>
    <row r="808" spans="1:30" hidden="1">
      <c r="A808" s="2" t="s">
        <v>3444</v>
      </c>
      <c r="B808" s="58">
        <v>44775.33148148148</v>
      </c>
      <c r="C808" s="59" t="s">
        <v>3727</v>
      </c>
      <c r="D808" s="60" t="s">
        <v>165</v>
      </c>
      <c r="E808" s="2" t="s">
        <v>99</v>
      </c>
      <c r="F808" s="1" t="s">
        <v>34</v>
      </c>
      <c r="G808" s="2" t="s">
        <v>3728</v>
      </c>
      <c r="H808" s="2" t="s">
        <v>131</v>
      </c>
      <c r="I808" s="61">
        <v>9125000</v>
      </c>
      <c r="J808" s="62">
        <v>49</v>
      </c>
      <c r="M808" s="2" t="s">
        <v>167</v>
      </c>
      <c r="N808" s="2" t="s">
        <v>48</v>
      </c>
      <c r="O808" s="2" t="s">
        <v>658</v>
      </c>
      <c r="P808" s="2" t="s">
        <v>658</v>
      </c>
      <c r="R808" s="2">
        <v>55110</v>
      </c>
      <c r="S808" s="2">
        <v>45.120406000000003</v>
      </c>
      <c r="T808" s="2">
        <v>-93.000988000000007</v>
      </c>
      <c r="U808" s="2" t="s">
        <v>378</v>
      </c>
      <c r="V808" s="2" t="s">
        <v>3729</v>
      </c>
      <c r="W808" s="63">
        <f>475000+600000</f>
        <v>1075000</v>
      </c>
      <c r="AC808" s="2" t="s">
        <v>51</v>
      </c>
      <c r="AD808" s="2">
        <f t="shared" si="12"/>
        <v>2022</v>
      </c>
    </row>
    <row r="809" spans="1:30" hidden="1">
      <c r="A809" s="2" t="s">
        <v>3444</v>
      </c>
      <c r="B809" s="210">
        <v>44777</v>
      </c>
      <c r="C809" s="216" t="s">
        <v>3730</v>
      </c>
      <c r="D809" s="216" t="s">
        <v>372</v>
      </c>
      <c r="E809" s="2" t="s">
        <v>373</v>
      </c>
      <c r="F809" s="1" t="s">
        <v>34</v>
      </c>
      <c r="G809" s="2" t="s">
        <v>3731</v>
      </c>
      <c r="H809" s="2" t="s">
        <v>2746</v>
      </c>
      <c r="I809" s="29"/>
      <c r="J809" s="29"/>
      <c r="N809" s="2" t="s">
        <v>384</v>
      </c>
      <c r="O809" s="7" t="s">
        <v>3732</v>
      </c>
      <c r="P809" s="2" t="s">
        <v>2597</v>
      </c>
      <c r="Q809" s="180" t="s">
        <v>3733</v>
      </c>
      <c r="R809" s="2">
        <v>56001</v>
      </c>
      <c r="S809" s="2">
        <v>44.128324999999997</v>
      </c>
      <c r="T809" s="2">
        <v>-93.978863000000004</v>
      </c>
      <c r="W809" s="10"/>
      <c r="AC809" s="2" t="s">
        <v>120</v>
      </c>
      <c r="AD809" s="2">
        <f t="shared" si="12"/>
        <v>2022</v>
      </c>
    </row>
    <row r="810" spans="1:30" hidden="1">
      <c r="A810" s="2" t="s">
        <v>3444</v>
      </c>
      <c r="B810" s="42">
        <v>44779</v>
      </c>
      <c r="C810" s="2" t="s">
        <v>3734</v>
      </c>
      <c r="D810" s="2" t="s">
        <v>1143</v>
      </c>
      <c r="E810" s="2" t="s">
        <v>907</v>
      </c>
      <c r="F810" s="1" t="s">
        <v>34</v>
      </c>
      <c r="G810" s="2" t="s">
        <v>3735</v>
      </c>
      <c r="H810" s="2" t="s">
        <v>131</v>
      </c>
      <c r="I810" s="98">
        <v>23000000</v>
      </c>
      <c r="J810" s="29">
        <v>216</v>
      </c>
      <c r="M810" s="2" t="s">
        <v>417</v>
      </c>
      <c r="N810" s="2" t="s">
        <v>48</v>
      </c>
      <c r="O810" s="2" t="s">
        <v>3736</v>
      </c>
      <c r="P810" s="2" t="s">
        <v>3737</v>
      </c>
      <c r="Q810" s="2" t="s">
        <v>3738</v>
      </c>
      <c r="R810" s="2">
        <v>56345</v>
      </c>
      <c r="S810" s="2">
        <v>45.982989000000003</v>
      </c>
      <c r="T810" s="2">
        <v>-94.368634999999998</v>
      </c>
      <c r="U810" s="2" t="s">
        <v>378</v>
      </c>
      <c r="V810" s="2" t="s">
        <v>3739</v>
      </c>
      <c r="W810" s="10">
        <f>450000+10*90000</f>
        <v>1350000</v>
      </c>
      <c r="AC810" s="2" t="s">
        <v>41</v>
      </c>
      <c r="AD810" s="2">
        <f t="shared" si="12"/>
        <v>2022</v>
      </c>
    </row>
    <row r="811" spans="1:30" hidden="1">
      <c r="A811" s="2" t="s">
        <v>3444</v>
      </c>
      <c r="B811" s="42">
        <v>44780</v>
      </c>
      <c r="C811" s="2" t="s">
        <v>3740</v>
      </c>
      <c r="D811" s="2" t="s">
        <v>90</v>
      </c>
      <c r="E811" s="1" t="s">
        <v>91</v>
      </c>
      <c r="F811" s="1" t="s">
        <v>34</v>
      </c>
      <c r="G811" s="2" t="s">
        <v>3741</v>
      </c>
      <c r="I811" s="10"/>
      <c r="J811" s="29">
        <v>25</v>
      </c>
      <c r="M811" s="2" t="s">
        <v>3742</v>
      </c>
      <c r="N811" s="2" t="s">
        <v>48</v>
      </c>
      <c r="O811" s="2" t="s">
        <v>3743</v>
      </c>
      <c r="P811" s="2" t="s">
        <v>1593</v>
      </c>
      <c r="Q811" s="2" t="s">
        <v>3744</v>
      </c>
      <c r="R811" s="2">
        <v>55811</v>
      </c>
      <c r="S811" s="2">
        <v>46.830615000000002</v>
      </c>
      <c r="T811" s="2">
        <v>-92.149658000000002</v>
      </c>
      <c r="AC811" s="2" t="s">
        <v>97</v>
      </c>
      <c r="AD811" s="2">
        <f t="shared" si="12"/>
        <v>2022</v>
      </c>
    </row>
    <row r="812" spans="1:30" hidden="1">
      <c r="A812" s="2" t="s">
        <v>3444</v>
      </c>
      <c r="B812" s="3">
        <v>44782</v>
      </c>
      <c r="C812" s="96" t="s">
        <v>3745</v>
      </c>
      <c r="D812" s="46" t="s">
        <v>2443</v>
      </c>
      <c r="E812" s="2" t="s">
        <v>74</v>
      </c>
      <c r="F812" s="2" t="s">
        <v>34</v>
      </c>
      <c r="G812" s="2" t="s">
        <v>3746</v>
      </c>
      <c r="H812" s="2" t="s">
        <v>131</v>
      </c>
      <c r="I812" s="33">
        <v>8565857</v>
      </c>
      <c r="J812" s="33">
        <v>46</v>
      </c>
      <c r="L812" s="5">
        <v>60200</v>
      </c>
      <c r="M812" s="2" t="s">
        <v>2799</v>
      </c>
      <c r="N812" s="2" t="s">
        <v>48</v>
      </c>
      <c r="O812" s="2" t="s">
        <v>3747</v>
      </c>
      <c r="P812" s="2" t="s">
        <v>3748</v>
      </c>
      <c r="Q812" s="2" t="s">
        <v>3749</v>
      </c>
      <c r="R812" s="2">
        <v>55033</v>
      </c>
      <c r="S812" s="2">
        <v>44.720799999999997</v>
      </c>
      <c r="T812" s="2">
        <v>-92.835496000000006</v>
      </c>
      <c r="U812" s="2" t="s">
        <v>378</v>
      </c>
      <c r="V812" s="2" t="s">
        <v>3750</v>
      </c>
      <c r="W812" s="9">
        <f>725000+975000</f>
        <v>1700000</v>
      </c>
      <c r="AC812" s="2" t="s">
        <v>51</v>
      </c>
      <c r="AD812" s="2">
        <f t="shared" si="12"/>
        <v>2022</v>
      </c>
    </row>
    <row r="813" spans="1:30" hidden="1">
      <c r="A813" s="2" t="s">
        <v>3444</v>
      </c>
      <c r="B813" s="42">
        <v>44783</v>
      </c>
      <c r="C813" s="2" t="s">
        <v>2818</v>
      </c>
      <c r="D813" s="2" t="s">
        <v>3397</v>
      </c>
      <c r="E813" s="2" t="s">
        <v>3388</v>
      </c>
      <c r="F813" s="1" t="s">
        <v>34</v>
      </c>
      <c r="G813" s="2" t="s">
        <v>3751</v>
      </c>
      <c r="H813" s="2" t="s">
        <v>131</v>
      </c>
      <c r="I813" s="98">
        <v>3200000</v>
      </c>
      <c r="J813" s="29">
        <v>75</v>
      </c>
      <c r="M813" s="2" t="s">
        <v>2799</v>
      </c>
      <c r="N813" s="2" t="s">
        <v>48</v>
      </c>
      <c r="O813" s="2" t="s">
        <v>3752</v>
      </c>
      <c r="P813" s="2" t="s">
        <v>3703</v>
      </c>
      <c r="Q813" s="2" t="s">
        <v>3753</v>
      </c>
      <c r="R813" s="2">
        <v>55744</v>
      </c>
      <c r="S813" s="2">
        <v>47.221178000000002</v>
      </c>
      <c r="T813" s="2">
        <v>-93.510043999999994</v>
      </c>
      <c r="AC813" s="2" t="s">
        <v>97</v>
      </c>
      <c r="AD813" s="2">
        <f t="shared" si="12"/>
        <v>2022</v>
      </c>
    </row>
    <row r="814" spans="1:30" hidden="1">
      <c r="A814" s="2" t="s">
        <v>3444</v>
      </c>
      <c r="B814" s="3">
        <v>44791</v>
      </c>
      <c r="C814" s="2" t="s">
        <v>3754</v>
      </c>
      <c r="D814" s="2" t="s">
        <v>528</v>
      </c>
      <c r="E814" s="2" t="s">
        <v>66</v>
      </c>
      <c r="F814" s="1" t="s">
        <v>34</v>
      </c>
      <c r="G814" s="2" t="s">
        <v>3755</v>
      </c>
      <c r="H814" s="2" t="s">
        <v>3756</v>
      </c>
      <c r="I814" s="98">
        <v>1850000</v>
      </c>
      <c r="J814" s="33"/>
      <c r="M814" s="2" t="s">
        <v>93</v>
      </c>
      <c r="N814" s="2" t="s">
        <v>48</v>
      </c>
      <c r="O814" s="7" t="s">
        <v>2084</v>
      </c>
      <c r="P814" s="2" t="s">
        <v>2375</v>
      </c>
      <c r="Q814" s="2" t="s">
        <v>3757</v>
      </c>
      <c r="R814" s="2">
        <v>55435</v>
      </c>
      <c r="S814" s="2">
        <v>44.859366999999999</v>
      </c>
      <c r="T814" s="2">
        <v>-93.342202999999998</v>
      </c>
      <c r="W814" s="9"/>
      <c r="AC814" s="2" t="s">
        <v>51</v>
      </c>
      <c r="AD814" s="2">
        <f t="shared" si="12"/>
        <v>2022</v>
      </c>
    </row>
    <row r="815" spans="1:30" hidden="1">
      <c r="A815" s="2" t="s">
        <v>3444</v>
      </c>
      <c r="B815" s="42">
        <v>44792</v>
      </c>
      <c r="C815" s="2" t="s">
        <v>3758</v>
      </c>
      <c r="D815" s="2" t="s">
        <v>65</v>
      </c>
      <c r="E815" s="2" t="s">
        <v>66</v>
      </c>
      <c r="F815" s="1" t="s">
        <v>34</v>
      </c>
      <c r="G815" s="2" t="s">
        <v>3759</v>
      </c>
      <c r="H815" s="2" t="s">
        <v>2079</v>
      </c>
      <c r="I815" s="10"/>
      <c r="J815" s="29"/>
      <c r="M815" s="2" t="s">
        <v>85</v>
      </c>
      <c r="N815" s="2" t="s">
        <v>86</v>
      </c>
      <c r="O815" s="2" t="s">
        <v>3760</v>
      </c>
      <c r="P815" s="2" t="s">
        <v>3667</v>
      </c>
      <c r="R815" s="2">
        <v>55402</v>
      </c>
      <c r="S815" s="2">
        <v>44.975915000000001</v>
      </c>
      <c r="T815" s="2">
        <v>-93.271825000000007</v>
      </c>
      <c r="U815" s="2" t="s">
        <v>143</v>
      </c>
      <c r="X815" s="2" t="s">
        <v>2319</v>
      </c>
      <c r="Y815" s="2" t="s">
        <v>3758</v>
      </c>
      <c r="Z815" s="2" t="s">
        <v>3761</v>
      </c>
      <c r="AB815" s="2" t="s">
        <v>347</v>
      </c>
      <c r="AC815" s="2" t="s">
        <v>51</v>
      </c>
      <c r="AD815" s="2">
        <f t="shared" si="12"/>
        <v>2022</v>
      </c>
    </row>
    <row r="816" spans="1:30" hidden="1">
      <c r="A816" s="2" t="s">
        <v>3444</v>
      </c>
      <c r="B816" s="42">
        <v>44796</v>
      </c>
      <c r="C816" s="2" t="s">
        <v>3762</v>
      </c>
      <c r="D816" s="2" t="s">
        <v>3243</v>
      </c>
      <c r="E816" s="2" t="s">
        <v>74</v>
      </c>
      <c r="F816" s="1" t="s">
        <v>34</v>
      </c>
      <c r="G816" s="2" t="s">
        <v>3763</v>
      </c>
      <c r="H816" s="2" t="s">
        <v>131</v>
      </c>
      <c r="I816" s="10">
        <v>10000000</v>
      </c>
      <c r="J816" s="29">
        <v>30</v>
      </c>
      <c r="L816" s="5">
        <f>56220+3558</f>
        <v>59778</v>
      </c>
      <c r="N816" s="2" t="s">
        <v>384</v>
      </c>
      <c r="O816" s="2" t="s">
        <v>3764</v>
      </c>
      <c r="P816" s="2" t="s">
        <v>3667</v>
      </c>
      <c r="Q816" s="181" t="s">
        <v>3765</v>
      </c>
      <c r="R816" s="2">
        <v>55068</v>
      </c>
      <c r="S816" s="2">
        <v>44.718094000000001</v>
      </c>
      <c r="T816" s="2">
        <v>-93.129017000000005</v>
      </c>
      <c r="AC816" s="2" t="s">
        <v>51</v>
      </c>
      <c r="AD816" s="2">
        <f t="shared" si="12"/>
        <v>2022</v>
      </c>
    </row>
    <row r="817" spans="1:30" hidden="1">
      <c r="A817" s="2" t="s">
        <v>3444</v>
      </c>
      <c r="B817" s="42">
        <v>44799</v>
      </c>
      <c r="C817" s="2" t="s">
        <v>3766</v>
      </c>
      <c r="D817" s="2" t="s">
        <v>53</v>
      </c>
      <c r="E817" s="2" t="s">
        <v>54</v>
      </c>
      <c r="F817" s="1" t="s">
        <v>34</v>
      </c>
      <c r="G817" s="2" t="s">
        <v>3767</v>
      </c>
      <c r="H817" s="2" t="s">
        <v>2708</v>
      </c>
      <c r="I817" s="57">
        <v>1000000000</v>
      </c>
      <c r="J817" s="5">
        <v>100</v>
      </c>
      <c r="L817" s="5">
        <v>1400000</v>
      </c>
      <c r="M817" s="2" t="s">
        <v>737</v>
      </c>
      <c r="N817" s="2" t="s">
        <v>300</v>
      </c>
      <c r="O817" s="2" t="s">
        <v>3768</v>
      </c>
      <c r="P817" s="2" t="s">
        <v>285</v>
      </c>
      <c r="Q817" s="2" t="s">
        <v>3769</v>
      </c>
      <c r="R817" s="2">
        <v>55318</v>
      </c>
      <c r="S817" s="2">
        <v>44.808245999999997</v>
      </c>
      <c r="T817" s="2">
        <v>-93.634111000000004</v>
      </c>
      <c r="AC817" s="2" t="s">
        <v>51</v>
      </c>
      <c r="AD817" s="2">
        <f t="shared" si="12"/>
        <v>2022</v>
      </c>
    </row>
    <row r="818" spans="1:30" hidden="1">
      <c r="A818" s="2" t="s">
        <v>3444</v>
      </c>
      <c r="B818" s="42">
        <v>44811</v>
      </c>
      <c r="C818" s="2" t="s">
        <v>3770</v>
      </c>
      <c r="D818" s="2" t="s">
        <v>3397</v>
      </c>
      <c r="E818" s="2" t="s">
        <v>3388</v>
      </c>
      <c r="F818" s="1" t="s">
        <v>34</v>
      </c>
      <c r="G818" s="2" t="s">
        <v>3771</v>
      </c>
      <c r="H818" s="2" t="s">
        <v>131</v>
      </c>
      <c r="I818" s="11"/>
      <c r="M818" s="2" t="s">
        <v>496</v>
      </c>
      <c r="N818" s="2" t="s">
        <v>48</v>
      </c>
      <c r="O818" s="2" t="s">
        <v>3772</v>
      </c>
      <c r="P818" s="2" t="s">
        <v>3703</v>
      </c>
      <c r="R818" s="2">
        <v>55744</v>
      </c>
      <c r="S818" s="2">
        <v>47.234577000000002</v>
      </c>
      <c r="T818" s="2">
        <v>-93.507034000000004</v>
      </c>
      <c r="AC818" s="2" t="s">
        <v>97</v>
      </c>
      <c r="AD818" s="2">
        <f t="shared" si="12"/>
        <v>2022</v>
      </c>
    </row>
    <row r="819" spans="1:30" hidden="1">
      <c r="A819" s="2" t="s">
        <v>3444</v>
      </c>
      <c r="B819" s="42">
        <v>44812</v>
      </c>
      <c r="C819" s="2" t="s">
        <v>3773</v>
      </c>
      <c r="D819" s="2" t="s">
        <v>65</v>
      </c>
      <c r="E819" s="2" t="s">
        <v>66</v>
      </c>
      <c r="F819" s="1" t="s">
        <v>34</v>
      </c>
      <c r="G819" s="2" t="s">
        <v>3774</v>
      </c>
      <c r="H819" s="2" t="s">
        <v>2422</v>
      </c>
      <c r="I819" s="11"/>
      <c r="J819" s="5">
        <v>4</v>
      </c>
      <c r="M819" s="2" t="s">
        <v>167</v>
      </c>
      <c r="N819" s="2" t="s">
        <v>48</v>
      </c>
      <c r="O819" s="2" t="s">
        <v>3775</v>
      </c>
      <c r="P819" s="2" t="s">
        <v>3667</v>
      </c>
      <c r="Q819" s="2" t="s">
        <v>3776</v>
      </c>
      <c r="R819" s="2">
        <v>55402</v>
      </c>
      <c r="S819" s="2">
        <v>44.975901999999998</v>
      </c>
      <c r="T819" s="2">
        <v>-93.272092999999998</v>
      </c>
      <c r="X819" s="2" t="s">
        <v>2319</v>
      </c>
      <c r="Y819" s="2" t="s">
        <v>3773</v>
      </c>
      <c r="AB819" s="2" t="s">
        <v>1098</v>
      </c>
      <c r="AC819" s="2" t="s">
        <v>51</v>
      </c>
      <c r="AD819" s="2">
        <f t="shared" si="12"/>
        <v>2022</v>
      </c>
    </row>
    <row r="820" spans="1:30" hidden="1">
      <c r="A820" s="2" t="s">
        <v>3444</v>
      </c>
      <c r="B820" s="42">
        <v>44825</v>
      </c>
      <c r="C820" s="2" t="s">
        <v>687</v>
      </c>
      <c r="D820" s="46" t="s">
        <v>1051</v>
      </c>
      <c r="E820" s="2" t="s">
        <v>66</v>
      </c>
      <c r="F820" s="1" t="s">
        <v>34</v>
      </c>
      <c r="G820" s="2" t="s">
        <v>3777</v>
      </c>
      <c r="H820" s="2" t="s">
        <v>3231</v>
      </c>
      <c r="I820" s="11">
        <v>81300000</v>
      </c>
      <c r="J820" s="5">
        <v>150</v>
      </c>
      <c r="L820" s="5">
        <v>529000</v>
      </c>
      <c r="M820" s="2" t="s">
        <v>93</v>
      </c>
      <c r="N820" s="2" t="s">
        <v>48</v>
      </c>
      <c r="O820" s="2" t="s">
        <v>3778</v>
      </c>
      <c r="P820" s="2" t="s">
        <v>285</v>
      </c>
      <c r="Q820" s="2" t="s">
        <v>3779</v>
      </c>
      <c r="R820" s="2">
        <v>55327</v>
      </c>
      <c r="S820" s="2">
        <v>45.166874999999997</v>
      </c>
      <c r="T820" s="2">
        <v>-93.495929000000004</v>
      </c>
      <c r="U820" s="2" t="s">
        <v>378</v>
      </c>
      <c r="V820" s="2" t="s">
        <v>3780</v>
      </c>
      <c r="W820" s="95">
        <v>2035101</v>
      </c>
      <c r="AC820" s="2" t="s">
        <v>51</v>
      </c>
      <c r="AD820" s="2">
        <f t="shared" si="12"/>
        <v>2022</v>
      </c>
    </row>
    <row r="821" spans="1:30" hidden="1">
      <c r="A821" s="2" t="s">
        <v>3444</v>
      </c>
      <c r="B821" s="148">
        <v>44831</v>
      </c>
      <c r="C821" s="145" t="s">
        <v>3781</v>
      </c>
      <c r="D821" s="2" t="s">
        <v>174</v>
      </c>
      <c r="E821" s="2" t="s">
        <v>66</v>
      </c>
      <c r="F821" s="1" t="s">
        <v>34</v>
      </c>
      <c r="G821" s="46" t="s">
        <v>3782</v>
      </c>
      <c r="H821" s="2" t="s">
        <v>3231</v>
      </c>
      <c r="I821" s="29">
        <v>34610615</v>
      </c>
      <c r="J821" s="95">
        <v>142</v>
      </c>
      <c r="L821" s="5">
        <v>53000</v>
      </c>
      <c r="N821" s="2" t="s">
        <v>253</v>
      </c>
      <c r="O821" s="7" t="s">
        <v>3783</v>
      </c>
      <c r="Q821" s="2" t="s">
        <v>3784</v>
      </c>
      <c r="R821" s="2">
        <v>55445</v>
      </c>
      <c r="S821" s="2">
        <v>45.149346999999999</v>
      </c>
      <c r="T821" s="2">
        <v>-93.381394999999998</v>
      </c>
      <c r="U821" s="2" t="s">
        <v>378</v>
      </c>
      <c r="V821" s="46" t="s">
        <v>3785</v>
      </c>
      <c r="W821" s="29">
        <f>775000+475000</f>
        <v>1250000</v>
      </c>
      <c r="Y821" s="145" t="s">
        <v>3781</v>
      </c>
      <c r="Z821" s="2" t="s">
        <v>3786</v>
      </c>
      <c r="AA821" s="2" t="s">
        <v>3787</v>
      </c>
      <c r="AC821" s="2" t="s">
        <v>51</v>
      </c>
      <c r="AD821" s="2">
        <f t="shared" si="12"/>
        <v>2022</v>
      </c>
    </row>
    <row r="822" spans="1:30" hidden="1">
      <c r="A822" s="2" t="s">
        <v>3444</v>
      </c>
      <c r="B822" s="3">
        <v>44834</v>
      </c>
      <c r="C822" s="96" t="s">
        <v>3788</v>
      </c>
      <c r="D822" s="46" t="s">
        <v>3789</v>
      </c>
      <c r="E822" s="2" t="s">
        <v>572</v>
      </c>
      <c r="F822" s="1" t="s">
        <v>34</v>
      </c>
      <c r="G822" s="2" t="s">
        <v>3790</v>
      </c>
      <c r="H822" s="2" t="s">
        <v>131</v>
      </c>
      <c r="I822" s="101">
        <v>2000000</v>
      </c>
      <c r="J822" s="33">
        <v>20</v>
      </c>
      <c r="K822" s="2">
        <v>34</v>
      </c>
      <c r="L822" s="5">
        <v>18000</v>
      </c>
      <c r="M822" s="2" t="s">
        <v>2165</v>
      </c>
      <c r="N822" s="2" t="s">
        <v>48</v>
      </c>
      <c r="O822" s="2" t="s">
        <v>658</v>
      </c>
      <c r="P822" s="2" t="s">
        <v>658</v>
      </c>
      <c r="Q822" s="2" t="s">
        <v>3791</v>
      </c>
      <c r="R822" s="2">
        <v>55321</v>
      </c>
      <c r="S822" s="2">
        <v>45.076596000000002</v>
      </c>
      <c r="T822" s="2">
        <v>-94.192274999999995</v>
      </c>
      <c r="W822" s="9"/>
      <c r="AC822" s="2" t="s">
        <v>41</v>
      </c>
      <c r="AD822" s="2">
        <f t="shared" si="12"/>
        <v>2022</v>
      </c>
    </row>
    <row r="823" spans="1:30" hidden="1">
      <c r="A823" s="2" t="s">
        <v>3792</v>
      </c>
      <c r="B823" s="179">
        <v>44839</v>
      </c>
      <c r="C823" s="2" t="s">
        <v>2690</v>
      </c>
      <c r="D823" s="2" t="s">
        <v>1418</v>
      </c>
      <c r="E823" s="2" t="s">
        <v>1419</v>
      </c>
      <c r="F823" s="1" t="s">
        <v>34</v>
      </c>
      <c r="G823" s="46" t="s">
        <v>3793</v>
      </c>
      <c r="H823" s="2" t="s">
        <v>3231</v>
      </c>
      <c r="I823" s="5">
        <v>31000000</v>
      </c>
      <c r="L823" s="5">
        <v>252000</v>
      </c>
      <c r="M823" s="1" t="s">
        <v>47</v>
      </c>
      <c r="N823" s="2" t="s">
        <v>48</v>
      </c>
      <c r="O823" s="2" t="s">
        <v>3794</v>
      </c>
      <c r="Q823" s="2" t="s">
        <v>3795</v>
      </c>
      <c r="R823" s="2">
        <v>56308</v>
      </c>
      <c r="S823" s="2">
        <v>45.860156000000003</v>
      </c>
      <c r="T823" s="2">
        <v>-95.379949999999994</v>
      </c>
      <c r="Y823" s="2" t="s">
        <v>2690</v>
      </c>
      <c r="AB823" s="2" t="s">
        <v>423</v>
      </c>
      <c r="AC823" s="2" t="s">
        <v>41</v>
      </c>
      <c r="AD823" s="2">
        <f t="shared" si="12"/>
        <v>2022</v>
      </c>
    </row>
    <row r="824" spans="1:30" hidden="1">
      <c r="A824" s="2" t="s">
        <v>3792</v>
      </c>
      <c r="B824" s="179">
        <v>44840</v>
      </c>
      <c r="C824" s="182" t="s">
        <v>1699</v>
      </c>
      <c r="D824" s="164" t="s">
        <v>448</v>
      </c>
      <c r="E824" s="2" t="s">
        <v>66</v>
      </c>
      <c r="F824" s="1" t="s">
        <v>34</v>
      </c>
      <c r="G824" s="46" t="s">
        <v>3796</v>
      </c>
      <c r="I824" s="33"/>
      <c r="J824" s="33"/>
      <c r="M824" s="2" t="s">
        <v>85</v>
      </c>
      <c r="N824" s="2" t="s">
        <v>86</v>
      </c>
      <c r="O824" s="2" t="s">
        <v>3797</v>
      </c>
      <c r="Q824" s="2" t="s">
        <v>2239</v>
      </c>
      <c r="R824" s="2">
        <v>55347</v>
      </c>
      <c r="S824" s="2">
        <v>44.841734000000002</v>
      </c>
      <c r="T824" s="2">
        <v>-93.441980999999998</v>
      </c>
      <c r="U824" s="2" t="s">
        <v>143</v>
      </c>
      <c r="W824" s="134"/>
      <c r="AC824" s="2" t="s">
        <v>51</v>
      </c>
      <c r="AD824" s="2">
        <f t="shared" si="12"/>
        <v>2022</v>
      </c>
    </row>
    <row r="825" spans="1:30" hidden="1">
      <c r="A825" s="2" t="s">
        <v>3792</v>
      </c>
      <c r="B825" s="42">
        <v>44846</v>
      </c>
      <c r="C825" s="2" t="s">
        <v>3798</v>
      </c>
      <c r="D825" s="2" t="s">
        <v>65</v>
      </c>
      <c r="E825" s="2" t="s">
        <v>66</v>
      </c>
      <c r="F825" s="1" t="s">
        <v>34</v>
      </c>
      <c r="G825" s="2" t="s">
        <v>3799</v>
      </c>
      <c r="H825" s="2" t="s">
        <v>2079</v>
      </c>
      <c r="I825" s="29"/>
      <c r="J825" s="29"/>
      <c r="L825" s="29">
        <v>27000</v>
      </c>
      <c r="N825" s="2" t="s">
        <v>69</v>
      </c>
      <c r="O825" s="2" t="s">
        <v>3800</v>
      </c>
      <c r="P825" s="2" t="s">
        <v>3801</v>
      </c>
      <c r="Q825" s="2" t="s">
        <v>3802</v>
      </c>
      <c r="R825" s="2">
        <v>55402</v>
      </c>
      <c r="S825" s="2">
        <v>44.974625000000003</v>
      </c>
      <c r="T825" s="2">
        <v>-93.270889999999994</v>
      </c>
      <c r="W825" s="29"/>
      <c r="AC825" s="2" t="s">
        <v>51</v>
      </c>
      <c r="AD825" s="2">
        <f t="shared" si="12"/>
        <v>2022</v>
      </c>
    </row>
    <row r="826" spans="1:30" hidden="1">
      <c r="A826" s="2" t="s">
        <v>3792</v>
      </c>
      <c r="B826" s="42">
        <v>44848</v>
      </c>
      <c r="C826" s="2" t="s">
        <v>3803</v>
      </c>
      <c r="D826" s="46" t="s">
        <v>1078</v>
      </c>
      <c r="E826" s="1" t="s">
        <v>91</v>
      </c>
      <c r="F826" s="1" t="s">
        <v>34</v>
      </c>
      <c r="G826" s="46" t="s">
        <v>3804</v>
      </c>
      <c r="H826" s="2" t="s">
        <v>131</v>
      </c>
      <c r="I826" s="5">
        <v>2600000</v>
      </c>
      <c r="J826" s="5">
        <v>4</v>
      </c>
      <c r="M826" s="2" t="s">
        <v>3474</v>
      </c>
      <c r="N826" s="2" t="s">
        <v>48</v>
      </c>
      <c r="O826" s="2" t="s">
        <v>3805</v>
      </c>
      <c r="Q826" s="2" t="s">
        <v>3806</v>
      </c>
      <c r="R826" s="2">
        <v>55746</v>
      </c>
      <c r="S826" s="2">
        <v>47.394854000000002</v>
      </c>
      <c r="T826" s="2">
        <v>-92.876908999999998</v>
      </c>
      <c r="U826" s="2" t="s">
        <v>378</v>
      </c>
      <c r="V826" s="2" t="s">
        <v>3807</v>
      </c>
      <c r="W826" s="2">
        <v>1300000</v>
      </c>
      <c r="AC826" s="2" t="s">
        <v>97</v>
      </c>
      <c r="AD826" s="2">
        <f t="shared" si="12"/>
        <v>2022</v>
      </c>
    </row>
    <row r="827" spans="1:30" hidden="1">
      <c r="A827" s="2" t="s">
        <v>3792</v>
      </c>
      <c r="B827" s="42">
        <v>44848</v>
      </c>
      <c r="C827" s="1" t="s">
        <v>577</v>
      </c>
      <c r="D827" s="1" t="s">
        <v>578</v>
      </c>
      <c r="E827" s="2" t="s">
        <v>112</v>
      </c>
      <c r="F827" s="66" t="s">
        <v>34</v>
      </c>
      <c r="G827" s="2" t="s">
        <v>3808</v>
      </c>
      <c r="H827" s="2" t="s">
        <v>131</v>
      </c>
      <c r="I827" s="29">
        <v>13525000</v>
      </c>
      <c r="J827" s="95">
        <v>35</v>
      </c>
      <c r="M827" s="2" t="s">
        <v>3809</v>
      </c>
      <c r="N827" s="2" t="s">
        <v>48</v>
      </c>
      <c r="O827" s="2" t="s">
        <v>3810</v>
      </c>
      <c r="P827" s="2" t="s">
        <v>658</v>
      </c>
      <c r="Q827" s="157" t="s">
        <v>580</v>
      </c>
      <c r="R827" s="2">
        <v>55976</v>
      </c>
      <c r="S827" s="2">
        <v>43.866067999999999</v>
      </c>
      <c r="T827" s="2">
        <v>-92.490588000000002</v>
      </c>
      <c r="U827" s="2" t="s">
        <v>378</v>
      </c>
      <c r="V827" s="2" t="s">
        <v>3811</v>
      </c>
      <c r="W827" s="10">
        <f>230000+800000</f>
        <v>1030000</v>
      </c>
      <c r="AC827" s="2" t="s">
        <v>120</v>
      </c>
      <c r="AD827" s="2">
        <f t="shared" si="12"/>
        <v>2022</v>
      </c>
    </row>
    <row r="828" spans="1:30" hidden="1">
      <c r="A828" s="2" t="s">
        <v>3792</v>
      </c>
      <c r="B828" s="42">
        <v>44852</v>
      </c>
      <c r="C828" s="145" t="s">
        <v>3812</v>
      </c>
      <c r="D828" s="2" t="s">
        <v>2633</v>
      </c>
      <c r="E828" s="2" t="s">
        <v>2633</v>
      </c>
      <c r="F828" s="1" t="s">
        <v>34</v>
      </c>
      <c r="G828" s="46" t="s">
        <v>3813</v>
      </c>
      <c r="H828" s="2" t="s">
        <v>3231</v>
      </c>
      <c r="I828" s="29">
        <v>615712</v>
      </c>
      <c r="J828" s="29">
        <v>11</v>
      </c>
      <c r="N828" s="2" t="s">
        <v>1004</v>
      </c>
      <c r="O828" s="2" t="s">
        <v>3814</v>
      </c>
      <c r="Q828" s="99" t="s">
        <v>3815</v>
      </c>
      <c r="R828" s="2">
        <v>56093</v>
      </c>
      <c r="S828" s="2">
        <v>44.065418999999999</v>
      </c>
      <c r="T828" s="2">
        <v>-93.505668999999997</v>
      </c>
      <c r="U828" s="2" t="s">
        <v>378</v>
      </c>
      <c r="V828" s="2" t="s">
        <v>3816</v>
      </c>
      <c r="W828" s="29">
        <v>102297</v>
      </c>
      <c r="AC828" s="2" t="s">
        <v>120</v>
      </c>
      <c r="AD828" s="2">
        <f t="shared" si="12"/>
        <v>2022</v>
      </c>
    </row>
    <row r="829" spans="1:30" hidden="1">
      <c r="A829" s="2" t="s">
        <v>3792</v>
      </c>
      <c r="B829" s="42">
        <v>44858</v>
      </c>
      <c r="C829" s="2" t="s">
        <v>3817</v>
      </c>
      <c r="D829" s="66" t="s">
        <v>448</v>
      </c>
      <c r="E829" s="2" t="s">
        <v>66</v>
      </c>
      <c r="F829" s="1" t="s">
        <v>34</v>
      </c>
      <c r="G829" s="2" t="s">
        <v>3818</v>
      </c>
      <c r="H829" s="2" t="s">
        <v>3819</v>
      </c>
      <c r="L829" s="5">
        <v>105000</v>
      </c>
      <c r="M829" s="2" t="s">
        <v>93</v>
      </c>
      <c r="N829" s="2" t="s">
        <v>48</v>
      </c>
      <c r="O829" s="2" t="s">
        <v>3820</v>
      </c>
      <c r="P829" s="2" t="s">
        <v>3821</v>
      </c>
      <c r="Q829" s="183" t="s">
        <v>3822</v>
      </c>
      <c r="R829" s="2">
        <v>55344</v>
      </c>
      <c r="S829" s="2">
        <v>44.869596999999999</v>
      </c>
      <c r="T829" s="2">
        <v>-93.407747999999998</v>
      </c>
      <c r="W829" s="11"/>
      <c r="AC829" s="2" t="s">
        <v>51</v>
      </c>
      <c r="AD829" s="2">
        <f t="shared" si="12"/>
        <v>2022</v>
      </c>
    </row>
    <row r="830" spans="1:30" hidden="1">
      <c r="A830" s="2" t="s">
        <v>3792</v>
      </c>
      <c r="B830" s="42">
        <v>44865</v>
      </c>
      <c r="C830" s="2" t="s">
        <v>3823</v>
      </c>
      <c r="D830" s="46" t="s">
        <v>3824</v>
      </c>
      <c r="E830" s="2" t="s">
        <v>3825</v>
      </c>
      <c r="F830" s="1" t="s">
        <v>34</v>
      </c>
      <c r="G830" s="46" t="s">
        <v>3826</v>
      </c>
      <c r="H830" s="2" t="s">
        <v>131</v>
      </c>
      <c r="I830" s="5">
        <v>500000</v>
      </c>
      <c r="J830" s="5">
        <v>38</v>
      </c>
      <c r="K830" s="2">
        <v>12</v>
      </c>
      <c r="M830" s="2" t="s">
        <v>93</v>
      </c>
      <c r="N830" s="2" t="s">
        <v>48</v>
      </c>
      <c r="O830" s="2" t="s">
        <v>3827</v>
      </c>
      <c r="Q830" s="2" t="s">
        <v>3828</v>
      </c>
      <c r="R830" s="2">
        <v>56342</v>
      </c>
      <c r="S830" s="2">
        <v>46.153078999999998</v>
      </c>
      <c r="T830" s="2">
        <v>-93.461944000000003</v>
      </c>
      <c r="U830" s="2" t="s">
        <v>378</v>
      </c>
      <c r="V830" s="2" t="s">
        <v>3829</v>
      </c>
      <c r="W830" s="2">
        <v>201022</v>
      </c>
      <c r="AC830" s="2" t="s">
        <v>41</v>
      </c>
      <c r="AD830" s="2">
        <f t="shared" si="12"/>
        <v>2022</v>
      </c>
    </row>
    <row r="831" spans="1:30" hidden="1">
      <c r="A831" s="2" t="s">
        <v>3792</v>
      </c>
      <c r="B831" s="42">
        <v>44865</v>
      </c>
      <c r="C831" s="2" t="s">
        <v>128</v>
      </c>
      <c r="D831" s="46" t="s">
        <v>129</v>
      </c>
      <c r="E831" s="1" t="s">
        <v>91</v>
      </c>
      <c r="F831" s="1" t="s">
        <v>34</v>
      </c>
      <c r="G831" s="46" t="s">
        <v>3830</v>
      </c>
      <c r="H831" s="2" t="s">
        <v>131</v>
      </c>
      <c r="I831" s="5">
        <v>7000000</v>
      </c>
      <c r="M831" s="1" t="s">
        <v>132</v>
      </c>
      <c r="N831" s="1" t="s">
        <v>48</v>
      </c>
      <c r="O831" s="2" t="s">
        <v>3831</v>
      </c>
      <c r="Q831" s="2" t="s">
        <v>134</v>
      </c>
      <c r="R831" s="2">
        <v>55768</v>
      </c>
      <c r="S831" s="2">
        <v>47.521563</v>
      </c>
      <c r="T831" s="2">
        <v>-92.606620000000007</v>
      </c>
      <c r="Y831" s="2" t="s">
        <v>128</v>
      </c>
      <c r="AB831" s="2" t="s">
        <v>423</v>
      </c>
      <c r="AC831" s="2" t="s">
        <v>97</v>
      </c>
      <c r="AD831" s="2">
        <f t="shared" si="12"/>
        <v>2022</v>
      </c>
    </row>
    <row r="832" spans="1:30" hidden="1">
      <c r="A832" s="2" t="s">
        <v>3792</v>
      </c>
      <c r="B832" s="148">
        <v>44865</v>
      </c>
      <c r="C832" s="1" t="s">
        <v>720</v>
      </c>
      <c r="D832" s="2" t="s">
        <v>528</v>
      </c>
      <c r="E832" s="2" t="s">
        <v>66</v>
      </c>
      <c r="F832" s="1" t="s">
        <v>34</v>
      </c>
      <c r="G832" s="46" t="s">
        <v>3832</v>
      </c>
      <c r="H832" s="2" t="s">
        <v>3833</v>
      </c>
      <c r="I832" s="29">
        <v>477000</v>
      </c>
      <c r="M832" s="2" t="s">
        <v>93</v>
      </c>
      <c r="N832" s="1" t="s">
        <v>48</v>
      </c>
      <c r="O832" s="2" t="s">
        <v>3090</v>
      </c>
      <c r="Q832" s="2" t="s">
        <v>3834</v>
      </c>
      <c r="R832" s="2">
        <v>55431</v>
      </c>
      <c r="S832" s="2">
        <v>44.835960999999998</v>
      </c>
      <c r="T832" s="2">
        <v>-93.297640999999999</v>
      </c>
      <c r="V832" s="46"/>
      <c r="W832" s="29"/>
      <c r="AC832" s="2" t="s">
        <v>51</v>
      </c>
      <c r="AD832" s="2">
        <f t="shared" si="12"/>
        <v>2022</v>
      </c>
    </row>
    <row r="833" spans="1:30" hidden="1">
      <c r="A833" s="2" t="s">
        <v>3792</v>
      </c>
      <c r="B833" s="42">
        <v>44866</v>
      </c>
      <c r="C833" s="2" t="s">
        <v>3255</v>
      </c>
      <c r="D833" s="2" t="s">
        <v>3243</v>
      </c>
      <c r="E833" s="2" t="s">
        <v>74</v>
      </c>
      <c r="F833" s="1" t="s">
        <v>34</v>
      </c>
      <c r="G833" s="2" t="s">
        <v>3835</v>
      </c>
      <c r="H833" s="2" t="s">
        <v>3531</v>
      </c>
      <c r="I833" s="29">
        <v>6000000</v>
      </c>
      <c r="J833" s="95"/>
      <c r="L833" s="5">
        <v>70000</v>
      </c>
      <c r="M833" s="2" t="s">
        <v>2165</v>
      </c>
      <c r="N833" s="2" t="s">
        <v>48</v>
      </c>
      <c r="O833" s="2" t="s">
        <v>3836</v>
      </c>
      <c r="P833" s="2" t="s">
        <v>3837</v>
      </c>
      <c r="Q833" s="157" t="s">
        <v>3258</v>
      </c>
      <c r="R833" s="2">
        <v>55068</v>
      </c>
      <c r="S833" s="2">
        <v>44.757401000000002</v>
      </c>
      <c r="T833" s="2">
        <v>-93.011330999999998</v>
      </c>
      <c r="AC833" s="2" t="s">
        <v>51</v>
      </c>
      <c r="AD833" s="2">
        <f t="shared" ref="AD833:AD858" si="13">YEAR(B833)</f>
        <v>2022</v>
      </c>
    </row>
    <row r="834" spans="1:30" hidden="1">
      <c r="A834" s="2" t="s">
        <v>3792</v>
      </c>
      <c r="B834" s="42">
        <v>44867</v>
      </c>
      <c r="C834" s="2" t="s">
        <v>3838</v>
      </c>
      <c r="D834" s="46" t="s">
        <v>3839</v>
      </c>
      <c r="E834" s="2" t="s">
        <v>238</v>
      </c>
      <c r="F834" s="2" t="s">
        <v>34</v>
      </c>
      <c r="G834" s="46" t="s">
        <v>3840</v>
      </c>
      <c r="H834" s="2" t="s">
        <v>131</v>
      </c>
      <c r="I834" s="5">
        <v>18900000</v>
      </c>
      <c r="J834" s="5">
        <v>65</v>
      </c>
      <c r="L834" s="5">
        <v>100000</v>
      </c>
      <c r="M834" s="2" t="s">
        <v>3809</v>
      </c>
      <c r="N834" s="1" t="s">
        <v>48</v>
      </c>
      <c r="O834" s="2" t="s">
        <v>3841</v>
      </c>
      <c r="Q834" s="2" t="s">
        <v>3842</v>
      </c>
      <c r="R834" s="2">
        <v>56465</v>
      </c>
      <c r="S834" s="2">
        <v>46.486683999999997</v>
      </c>
      <c r="T834" s="2">
        <v>-94.158050000000003</v>
      </c>
      <c r="U834" s="2" t="s">
        <v>378</v>
      </c>
      <c r="V834" s="2" t="s">
        <v>3843</v>
      </c>
      <c r="W834" s="11">
        <f>840000+450000</f>
        <v>1290000</v>
      </c>
      <c r="AC834" s="2" t="s">
        <v>41</v>
      </c>
      <c r="AD834" s="2">
        <f t="shared" si="13"/>
        <v>2022</v>
      </c>
    </row>
    <row r="835" spans="1:30" hidden="1">
      <c r="A835" s="2" t="s">
        <v>3792</v>
      </c>
      <c r="B835" s="42">
        <v>44875</v>
      </c>
      <c r="C835" s="2" t="s">
        <v>3844</v>
      </c>
      <c r="D835" s="46" t="s">
        <v>65</v>
      </c>
      <c r="E835" s="2" t="s">
        <v>66</v>
      </c>
      <c r="F835" s="1" t="s">
        <v>34</v>
      </c>
      <c r="G835" s="46" t="s">
        <v>3845</v>
      </c>
      <c r="L835" s="5">
        <v>45000</v>
      </c>
      <c r="M835" s="2" t="s">
        <v>159</v>
      </c>
      <c r="N835" s="1" t="s">
        <v>86</v>
      </c>
      <c r="O835" s="2" t="s">
        <v>3846</v>
      </c>
      <c r="Q835" s="2" t="s">
        <v>3847</v>
      </c>
      <c r="R835" s="2">
        <v>55413</v>
      </c>
      <c r="S835" s="2">
        <v>45.000678999999998</v>
      </c>
      <c r="T835" s="2">
        <v>-93.269960999999995</v>
      </c>
      <c r="AC835" s="2" t="s">
        <v>51</v>
      </c>
      <c r="AD835" s="2">
        <f t="shared" si="13"/>
        <v>2022</v>
      </c>
    </row>
    <row r="836" spans="1:30" hidden="1">
      <c r="A836" s="2" t="s">
        <v>3792</v>
      </c>
      <c r="B836" s="42">
        <v>44876</v>
      </c>
      <c r="C836" s="2" t="s">
        <v>3848</v>
      </c>
      <c r="D836" s="46" t="s">
        <v>544</v>
      </c>
      <c r="E836" s="2" t="s">
        <v>66</v>
      </c>
      <c r="F836" s="1" t="s">
        <v>34</v>
      </c>
      <c r="G836" s="46" t="s">
        <v>3849</v>
      </c>
      <c r="H836" s="2" t="s">
        <v>3850</v>
      </c>
      <c r="J836" s="5">
        <v>30</v>
      </c>
      <c r="L836" s="5">
        <v>20000</v>
      </c>
      <c r="M836" s="2" t="s">
        <v>3608</v>
      </c>
      <c r="N836" s="2" t="s">
        <v>241</v>
      </c>
      <c r="O836" s="2" t="s">
        <v>3851</v>
      </c>
      <c r="Q836" s="2" t="s">
        <v>114</v>
      </c>
      <c r="R836" s="2">
        <v>55416</v>
      </c>
      <c r="S836" s="2">
        <v>44.959699999999998</v>
      </c>
      <c r="T836" s="2">
        <v>-93.370199999999997</v>
      </c>
      <c r="AC836" s="2" t="s">
        <v>51</v>
      </c>
      <c r="AD836" s="2">
        <f t="shared" si="13"/>
        <v>2022</v>
      </c>
    </row>
    <row r="837" spans="1:30" hidden="1">
      <c r="A837" s="2" t="s">
        <v>3792</v>
      </c>
      <c r="B837" s="42">
        <v>44879</v>
      </c>
      <c r="C837" s="46" t="s">
        <v>3852</v>
      </c>
      <c r="D837" s="2" t="s">
        <v>145</v>
      </c>
      <c r="E837" s="2" t="s">
        <v>66</v>
      </c>
      <c r="F837" s="1" t="s">
        <v>34</v>
      </c>
      <c r="G837" s="2" t="s">
        <v>3853</v>
      </c>
      <c r="I837" s="224">
        <v>5000000</v>
      </c>
      <c r="J837" s="29">
        <v>60</v>
      </c>
      <c r="L837" s="29"/>
      <c r="M837" s="2" t="s">
        <v>684</v>
      </c>
      <c r="N837" s="2" t="s">
        <v>48</v>
      </c>
      <c r="O837" s="2" t="s">
        <v>3854</v>
      </c>
      <c r="P837" s="2" t="s">
        <v>3855</v>
      </c>
      <c r="Q837" s="2" t="s">
        <v>3856</v>
      </c>
      <c r="R837" s="2">
        <v>55427</v>
      </c>
      <c r="S837" s="2">
        <v>45.027541999999997</v>
      </c>
      <c r="T837" s="2">
        <v>-93.376852</v>
      </c>
      <c r="U837" s="2" t="s">
        <v>378</v>
      </c>
      <c r="V837" s="2" t="s">
        <v>1576</v>
      </c>
      <c r="W837" s="29">
        <v>980000</v>
      </c>
      <c r="AC837" s="2" t="s">
        <v>51</v>
      </c>
      <c r="AD837" s="2">
        <f t="shared" si="13"/>
        <v>2022</v>
      </c>
    </row>
    <row r="838" spans="1:30" hidden="1">
      <c r="A838" s="2" t="s">
        <v>3792</v>
      </c>
      <c r="B838" s="42">
        <v>44881</v>
      </c>
      <c r="C838" s="2" t="s">
        <v>3294</v>
      </c>
      <c r="D838" s="46" t="s">
        <v>448</v>
      </c>
      <c r="E838" s="2" t="s">
        <v>66</v>
      </c>
      <c r="F838" s="1" t="s">
        <v>34</v>
      </c>
      <c r="G838" s="46" t="s">
        <v>3857</v>
      </c>
      <c r="H838" s="2" t="s">
        <v>2159</v>
      </c>
      <c r="L838" s="5">
        <v>40000</v>
      </c>
      <c r="M838" s="2" t="s">
        <v>417</v>
      </c>
      <c r="N838" s="2" t="s">
        <v>48</v>
      </c>
      <c r="O838" s="2" t="s">
        <v>3858</v>
      </c>
      <c r="Q838" s="2" t="s">
        <v>114</v>
      </c>
      <c r="R838" s="2">
        <v>55344</v>
      </c>
      <c r="S838" s="2">
        <v>44.850563000000001</v>
      </c>
      <c r="T838" s="2">
        <v>-93.440428999999995</v>
      </c>
      <c r="AC838" s="2" t="s">
        <v>51</v>
      </c>
      <c r="AD838" s="2">
        <f t="shared" si="13"/>
        <v>2022</v>
      </c>
    </row>
    <row r="839" spans="1:30" hidden="1">
      <c r="A839" s="2" t="s">
        <v>3792</v>
      </c>
      <c r="B839" s="42">
        <v>44882</v>
      </c>
      <c r="C839" s="2" t="s">
        <v>3859</v>
      </c>
      <c r="D839" s="46" t="s">
        <v>448</v>
      </c>
      <c r="E839" s="2" t="s">
        <v>66</v>
      </c>
      <c r="F839" s="1" t="s">
        <v>34</v>
      </c>
      <c r="G839" s="46" t="s">
        <v>3860</v>
      </c>
      <c r="H839" s="2" t="s">
        <v>2079</v>
      </c>
      <c r="I839" s="5">
        <v>4500000</v>
      </c>
      <c r="M839" s="2" t="s">
        <v>2459</v>
      </c>
      <c r="N839" s="2" t="s">
        <v>69</v>
      </c>
      <c r="O839" s="2" t="s">
        <v>3861</v>
      </c>
      <c r="Q839" s="2" t="s">
        <v>3862</v>
      </c>
      <c r="R839" s="2">
        <v>55344</v>
      </c>
      <c r="S839" s="2">
        <v>44.888202999999997</v>
      </c>
      <c r="T839" s="2">
        <v>-93.417029999999997</v>
      </c>
      <c r="AC839" s="2" t="s">
        <v>51</v>
      </c>
      <c r="AD839" s="2">
        <f t="shared" si="13"/>
        <v>2022</v>
      </c>
    </row>
    <row r="840" spans="1:30" hidden="1">
      <c r="A840" s="2" t="s">
        <v>3792</v>
      </c>
      <c r="B840" s="42">
        <v>44883</v>
      </c>
      <c r="C840" s="2" t="s">
        <v>3863</v>
      </c>
      <c r="D840" s="2" t="s">
        <v>3864</v>
      </c>
      <c r="E840" s="2" t="s">
        <v>74</v>
      </c>
      <c r="F840" s="66" t="s">
        <v>34</v>
      </c>
      <c r="G840" s="2" t="s">
        <v>3865</v>
      </c>
      <c r="H840" s="2" t="s">
        <v>131</v>
      </c>
      <c r="I840" s="2"/>
      <c r="J840" s="2"/>
      <c r="L840" s="5">
        <v>13333</v>
      </c>
      <c r="M840" s="2" t="s">
        <v>417</v>
      </c>
      <c r="N840" s="2" t="s">
        <v>48</v>
      </c>
      <c r="O840" s="2" t="s">
        <v>3866</v>
      </c>
      <c r="P840" s="2" t="s">
        <v>3867</v>
      </c>
      <c r="Q840" s="2" t="s">
        <v>3868</v>
      </c>
      <c r="R840" s="2">
        <v>55024</v>
      </c>
      <c r="S840" s="2">
        <v>44.647232000000002</v>
      </c>
      <c r="T840" s="2">
        <v>-93.169590999999997</v>
      </c>
      <c r="AC840" s="2" t="s">
        <v>51</v>
      </c>
      <c r="AD840" s="2">
        <f t="shared" si="13"/>
        <v>2022</v>
      </c>
    </row>
    <row r="841" spans="1:30" hidden="1">
      <c r="A841" s="2" t="s">
        <v>3792</v>
      </c>
      <c r="B841" s="148">
        <v>44884</v>
      </c>
      <c r="C841" s="145" t="s">
        <v>3869</v>
      </c>
      <c r="D841" s="2" t="s">
        <v>2027</v>
      </c>
      <c r="E841" s="2" t="s">
        <v>2027</v>
      </c>
      <c r="F841" s="1" t="s">
        <v>34</v>
      </c>
      <c r="G841" s="46" t="s">
        <v>3870</v>
      </c>
      <c r="H841" s="2" t="s">
        <v>131</v>
      </c>
      <c r="I841" s="29">
        <v>130000000</v>
      </c>
      <c r="J841" s="5">
        <f>130+50+100</f>
        <v>280</v>
      </c>
      <c r="M841" s="2" t="s">
        <v>3871</v>
      </c>
      <c r="N841" s="2" t="s">
        <v>48</v>
      </c>
      <c r="O841" s="2" t="s">
        <v>3872</v>
      </c>
      <c r="Q841" s="2" t="s">
        <v>3873</v>
      </c>
      <c r="R841" s="2">
        <v>56058</v>
      </c>
      <c r="S841" s="2">
        <v>44.494033000000002</v>
      </c>
      <c r="T841" s="2">
        <v>-93.870442999999995</v>
      </c>
      <c r="V841" s="46"/>
      <c r="W841" s="29"/>
      <c r="AC841" s="2" t="s">
        <v>120</v>
      </c>
      <c r="AD841" s="2">
        <f t="shared" si="13"/>
        <v>2022</v>
      </c>
    </row>
    <row r="842" spans="1:30" hidden="1">
      <c r="A842" s="2" t="s">
        <v>3792</v>
      </c>
      <c r="B842" s="148">
        <v>44893</v>
      </c>
      <c r="C842" s="145" t="s">
        <v>3874</v>
      </c>
      <c r="D842" s="2" t="s">
        <v>65</v>
      </c>
      <c r="E842" s="2" t="s">
        <v>66</v>
      </c>
      <c r="F842" s="1" t="s">
        <v>34</v>
      </c>
      <c r="G842" s="46" t="s">
        <v>3875</v>
      </c>
      <c r="H842" s="2" t="s">
        <v>131</v>
      </c>
      <c r="I842" s="10">
        <v>30200000</v>
      </c>
      <c r="J842" s="5">
        <v>350</v>
      </c>
      <c r="M842" s="2" t="s">
        <v>3809</v>
      </c>
      <c r="N842" s="2" t="s">
        <v>48</v>
      </c>
      <c r="O842" s="2" t="s">
        <v>3876</v>
      </c>
      <c r="Q842" s="2" t="s">
        <v>3877</v>
      </c>
      <c r="R842" s="2">
        <v>55454</v>
      </c>
      <c r="S842" s="2">
        <v>44.993718000000001</v>
      </c>
      <c r="T842" s="2">
        <v>-93.280733999999995</v>
      </c>
      <c r="U842" s="2" t="s">
        <v>378</v>
      </c>
      <c r="V842" s="46" t="s">
        <v>3878</v>
      </c>
      <c r="W842" s="29">
        <v>5756816</v>
      </c>
      <c r="AC842" s="2" t="s">
        <v>51</v>
      </c>
      <c r="AD842" s="2">
        <f t="shared" si="13"/>
        <v>2022</v>
      </c>
    </row>
    <row r="843" spans="1:30" hidden="1">
      <c r="A843" s="2" t="s">
        <v>3792</v>
      </c>
      <c r="B843" s="42">
        <v>44901</v>
      </c>
      <c r="C843" s="2" t="s">
        <v>3730</v>
      </c>
      <c r="D843" s="2" t="s">
        <v>1151</v>
      </c>
      <c r="E843" s="2" t="s">
        <v>572</v>
      </c>
      <c r="F843" s="1" t="s">
        <v>34</v>
      </c>
      <c r="G843" s="2" t="s">
        <v>3879</v>
      </c>
      <c r="H843" s="2" t="s">
        <v>2746</v>
      </c>
      <c r="I843" s="29"/>
      <c r="J843" s="29"/>
      <c r="N843" s="2" t="s">
        <v>384</v>
      </c>
      <c r="O843" s="2" t="s">
        <v>3880</v>
      </c>
      <c r="P843" s="2" t="s">
        <v>2597</v>
      </c>
      <c r="Q843" s="157" t="s">
        <v>3881</v>
      </c>
      <c r="R843" s="2">
        <v>55362</v>
      </c>
      <c r="S843" s="2">
        <v>45.256402999999999</v>
      </c>
      <c r="T843" s="2">
        <v>-93.683985000000007</v>
      </c>
      <c r="W843" s="10"/>
      <c r="AC843" s="2" t="s">
        <v>41</v>
      </c>
      <c r="AD843" s="2">
        <f t="shared" si="13"/>
        <v>2022</v>
      </c>
    </row>
    <row r="844" spans="1:30" hidden="1">
      <c r="A844" s="2" t="s">
        <v>3792</v>
      </c>
      <c r="B844" s="42">
        <v>44903</v>
      </c>
      <c r="C844" s="2" t="s">
        <v>3882</v>
      </c>
      <c r="D844" s="145" t="s">
        <v>528</v>
      </c>
      <c r="E844" s="2" t="s">
        <v>66</v>
      </c>
      <c r="F844" s="1" t="s">
        <v>34</v>
      </c>
      <c r="G844" s="46" t="s">
        <v>3883</v>
      </c>
      <c r="I844" s="29"/>
      <c r="L844" s="5">
        <v>4500</v>
      </c>
      <c r="M844" s="2" t="s">
        <v>450</v>
      </c>
      <c r="N844" s="2" t="s">
        <v>48</v>
      </c>
      <c r="O844" s="2" t="s">
        <v>3884</v>
      </c>
      <c r="P844" s="2" t="s">
        <v>3801</v>
      </c>
      <c r="Q844" s="2" t="s">
        <v>3885</v>
      </c>
      <c r="R844" s="2">
        <v>55425</v>
      </c>
      <c r="S844" s="2">
        <v>44.856324000000001</v>
      </c>
      <c r="T844" s="2">
        <v>-93.241945000000001</v>
      </c>
      <c r="V844" s="46"/>
      <c r="W844" s="29"/>
      <c r="X844" s="2" t="s">
        <v>2319</v>
      </c>
      <c r="Y844" s="2" t="s">
        <v>3886</v>
      </c>
      <c r="AB844" s="2" t="s">
        <v>757</v>
      </c>
      <c r="AC844" s="2" t="s">
        <v>51</v>
      </c>
      <c r="AD844" s="2">
        <f t="shared" si="13"/>
        <v>2022</v>
      </c>
    </row>
    <row r="845" spans="1:30" hidden="1">
      <c r="A845" s="2" t="s">
        <v>3792</v>
      </c>
      <c r="B845" s="148">
        <v>44908</v>
      </c>
      <c r="C845" s="145" t="s">
        <v>1487</v>
      </c>
      <c r="D845" s="2" t="s">
        <v>340</v>
      </c>
      <c r="E845" s="2" t="s">
        <v>66</v>
      </c>
      <c r="F845" s="1" t="s">
        <v>34</v>
      </c>
      <c r="G845" s="46" t="s">
        <v>3887</v>
      </c>
      <c r="I845" s="29"/>
      <c r="M845" s="2" t="s">
        <v>167</v>
      </c>
      <c r="N845" s="2" t="s">
        <v>48</v>
      </c>
      <c r="O845" s="46" t="s">
        <v>3888</v>
      </c>
      <c r="Q845" s="2" t="s">
        <v>3889</v>
      </c>
      <c r="R845" s="2">
        <v>55446</v>
      </c>
      <c r="S845" s="2">
        <v>45.020471999999998</v>
      </c>
      <c r="T845" s="2">
        <v>-93.487740000000002</v>
      </c>
      <c r="U845" s="2" t="s">
        <v>143</v>
      </c>
      <c r="V845" s="46"/>
      <c r="W845" s="29"/>
      <c r="AC845" s="2" t="s">
        <v>51</v>
      </c>
      <c r="AD845" s="2">
        <f t="shared" si="13"/>
        <v>2022</v>
      </c>
    </row>
    <row r="846" spans="1:30" hidden="1">
      <c r="A846" s="2" t="s">
        <v>3792</v>
      </c>
      <c r="B846" s="148">
        <v>44909</v>
      </c>
      <c r="C846" s="145" t="s">
        <v>3890</v>
      </c>
      <c r="D846" s="2" t="s">
        <v>65</v>
      </c>
      <c r="E846" s="2" t="s">
        <v>66</v>
      </c>
      <c r="F846" s="1" t="s">
        <v>34</v>
      </c>
      <c r="G846" s="46" t="s">
        <v>3891</v>
      </c>
      <c r="I846" s="29"/>
      <c r="L846" s="5">
        <v>113000</v>
      </c>
      <c r="M846" s="2" t="s">
        <v>2521</v>
      </c>
      <c r="N846" s="2" t="s">
        <v>140</v>
      </c>
      <c r="O846" s="2" t="s">
        <v>3892</v>
      </c>
      <c r="Q846" s="2" t="s">
        <v>3893</v>
      </c>
      <c r="R846" s="2">
        <v>55415</v>
      </c>
      <c r="S846" s="2">
        <v>44.977376999999997</v>
      </c>
      <c r="T846" s="2">
        <v>-93.265687999999997</v>
      </c>
      <c r="V846" s="46"/>
      <c r="W846" s="29"/>
      <c r="AC846" s="2" t="s">
        <v>51</v>
      </c>
      <c r="AD846" s="2">
        <f t="shared" si="13"/>
        <v>2022</v>
      </c>
    </row>
    <row r="847" spans="1:30" hidden="1">
      <c r="A847" s="2" t="s">
        <v>3792</v>
      </c>
      <c r="B847" s="184">
        <v>44909</v>
      </c>
      <c r="C847" s="2" t="s">
        <v>3894</v>
      </c>
      <c r="D847" s="2" t="s">
        <v>528</v>
      </c>
      <c r="E847" s="2" t="s">
        <v>66</v>
      </c>
      <c r="F847" s="1" t="s">
        <v>34</v>
      </c>
      <c r="G847" s="46" t="s">
        <v>3895</v>
      </c>
      <c r="H847" s="2" t="s">
        <v>3231</v>
      </c>
      <c r="I847" s="5">
        <v>550000</v>
      </c>
      <c r="M847" s="2" t="s">
        <v>2799</v>
      </c>
      <c r="N847" s="2" t="s">
        <v>48</v>
      </c>
      <c r="O847" s="2" t="s">
        <v>3090</v>
      </c>
      <c r="Q847" s="2" t="s">
        <v>3896</v>
      </c>
      <c r="R847" s="2">
        <v>55437</v>
      </c>
      <c r="S847" s="2">
        <v>44.805850999999997</v>
      </c>
      <c r="T847" s="2">
        <v>-93.353004999999996</v>
      </c>
      <c r="V847" s="46"/>
      <c r="W847" s="29"/>
      <c r="AC847" s="2" t="s">
        <v>51</v>
      </c>
      <c r="AD847" s="2">
        <f t="shared" si="13"/>
        <v>2022</v>
      </c>
    </row>
    <row r="848" spans="1:30" hidden="1">
      <c r="A848" s="2" t="s">
        <v>3792</v>
      </c>
      <c r="B848" s="184">
        <v>44915</v>
      </c>
      <c r="C848" s="2" t="s">
        <v>3897</v>
      </c>
      <c r="D848" s="2" t="s">
        <v>528</v>
      </c>
      <c r="E848" s="2" t="s">
        <v>66</v>
      </c>
      <c r="F848" s="1" t="s">
        <v>34</v>
      </c>
      <c r="G848" s="46" t="s">
        <v>3898</v>
      </c>
      <c r="H848" s="2" t="s">
        <v>2079</v>
      </c>
      <c r="I848" s="5">
        <v>4327458</v>
      </c>
      <c r="M848" s="2" t="s">
        <v>1636</v>
      </c>
      <c r="N848" s="2" t="s">
        <v>140</v>
      </c>
      <c r="O848" s="2" t="s">
        <v>3090</v>
      </c>
      <c r="Q848" s="2" t="s">
        <v>3899</v>
      </c>
      <c r="R848" s="2">
        <v>55431</v>
      </c>
      <c r="S848" s="2">
        <v>44.858280000000001</v>
      </c>
      <c r="T848" s="2">
        <v>-93.325306999999995</v>
      </c>
      <c r="V848" s="46"/>
      <c r="W848" s="29"/>
      <c r="AC848" s="2" t="s">
        <v>51</v>
      </c>
      <c r="AD848" s="2">
        <f t="shared" si="13"/>
        <v>2022</v>
      </c>
    </row>
    <row r="849" spans="1:30" hidden="1">
      <c r="A849" s="2" t="s">
        <v>3792</v>
      </c>
      <c r="B849" s="42">
        <v>44922</v>
      </c>
      <c r="C849" s="2" t="s">
        <v>3900</v>
      </c>
      <c r="D849" s="2" t="s">
        <v>1418</v>
      </c>
      <c r="E849" s="102" t="s">
        <v>1419</v>
      </c>
      <c r="F849" s="66" t="s">
        <v>34</v>
      </c>
      <c r="G849" s="2" t="s">
        <v>3901</v>
      </c>
      <c r="H849" s="2" t="s">
        <v>131</v>
      </c>
      <c r="I849" s="35">
        <v>18287876</v>
      </c>
      <c r="J849" s="35">
        <v>21</v>
      </c>
      <c r="L849" s="5">
        <v>75000</v>
      </c>
      <c r="M849" s="2" t="s">
        <v>3902</v>
      </c>
      <c r="N849" s="2" t="s">
        <v>48</v>
      </c>
      <c r="O849" s="2" t="s">
        <v>3903</v>
      </c>
      <c r="P849" s="2" t="s">
        <v>3904</v>
      </c>
      <c r="Q849" s="180" t="s">
        <v>3905</v>
      </c>
      <c r="R849" s="2">
        <v>56308</v>
      </c>
      <c r="S849" s="2">
        <v>45.902017000000001</v>
      </c>
      <c r="T849" s="2">
        <v>-95.420589000000007</v>
      </c>
      <c r="U849" s="2" t="s">
        <v>378</v>
      </c>
      <c r="V849" s="2" t="s">
        <v>3906</v>
      </c>
      <c r="W849" s="36">
        <f>150000+175000</f>
        <v>325000</v>
      </c>
      <c r="AC849" s="2" t="s">
        <v>41</v>
      </c>
      <c r="AD849" s="2">
        <f t="shared" si="13"/>
        <v>2022</v>
      </c>
    </row>
    <row r="850" spans="1:30" hidden="1">
      <c r="A850" s="2" t="s">
        <v>3792</v>
      </c>
      <c r="B850" s="42">
        <v>44926</v>
      </c>
      <c r="C850" s="2" t="s">
        <v>3907</v>
      </c>
      <c r="D850" s="2" t="s">
        <v>3908</v>
      </c>
      <c r="E850" s="216" t="s">
        <v>112</v>
      </c>
      <c r="F850" s="1" t="s">
        <v>34</v>
      </c>
      <c r="G850" s="2" t="s">
        <v>3909</v>
      </c>
      <c r="H850" s="2" t="s">
        <v>2079</v>
      </c>
      <c r="I850" s="29"/>
      <c r="J850" s="29">
        <v>20</v>
      </c>
      <c r="L850" s="29"/>
      <c r="M850" s="2" t="s">
        <v>167</v>
      </c>
      <c r="N850" s="2" t="s">
        <v>48</v>
      </c>
      <c r="O850" s="2" t="s">
        <v>3910</v>
      </c>
      <c r="P850" s="2" t="s">
        <v>2597</v>
      </c>
      <c r="Q850" s="2" t="s">
        <v>3911</v>
      </c>
      <c r="R850" s="2">
        <v>55902</v>
      </c>
      <c r="S850" s="2">
        <v>44.019171999999998</v>
      </c>
      <c r="T850" s="2">
        <v>-92.463688000000005</v>
      </c>
      <c r="W850" s="29"/>
      <c r="AC850" s="2" t="s">
        <v>120</v>
      </c>
      <c r="AD850" s="2">
        <f t="shared" si="13"/>
        <v>2022</v>
      </c>
    </row>
    <row r="851" spans="1:30" hidden="1">
      <c r="A851" s="2" t="s">
        <v>3912</v>
      </c>
      <c r="B851" s="210">
        <v>44929</v>
      </c>
      <c r="C851" s="216" t="s">
        <v>3913</v>
      </c>
      <c r="D851" s="216" t="s">
        <v>528</v>
      </c>
      <c r="E851" s="216" t="s">
        <v>66</v>
      </c>
      <c r="F851" s="1" t="s">
        <v>34</v>
      </c>
      <c r="G851" s="49" t="s">
        <v>3914</v>
      </c>
      <c r="H851" s="2" t="s">
        <v>1359</v>
      </c>
      <c r="I851" s="36"/>
      <c r="J851" s="35"/>
      <c r="N851" s="2" t="s">
        <v>384</v>
      </c>
      <c r="O851" s="2" t="s">
        <v>3915</v>
      </c>
      <c r="P851" s="2" t="s">
        <v>647</v>
      </c>
      <c r="Q851" s="180" t="s">
        <v>3916</v>
      </c>
      <c r="R851" s="2">
        <v>55439</v>
      </c>
      <c r="S851" s="2">
        <v>44.861550000000001</v>
      </c>
      <c r="T851" s="2">
        <v>-93.374184</v>
      </c>
      <c r="W851" s="29"/>
      <c r="AC851" s="2" t="s">
        <v>51</v>
      </c>
      <c r="AD851" s="2">
        <f t="shared" si="13"/>
        <v>2023</v>
      </c>
    </row>
    <row r="852" spans="1:30" hidden="1">
      <c r="A852" s="2" t="s">
        <v>3912</v>
      </c>
      <c r="B852" s="42">
        <v>44930</v>
      </c>
      <c r="C852" s="2" t="s">
        <v>1720</v>
      </c>
      <c r="D852" s="2" t="s">
        <v>340</v>
      </c>
      <c r="E852" s="2" t="s">
        <v>66</v>
      </c>
      <c r="F852" s="1" t="s">
        <v>34</v>
      </c>
      <c r="G852" s="49" t="s">
        <v>3917</v>
      </c>
      <c r="I852" s="10"/>
      <c r="J852" s="29"/>
      <c r="M852" s="2" t="s">
        <v>167</v>
      </c>
      <c r="N852" s="2" t="s">
        <v>48</v>
      </c>
      <c r="O852" s="2" t="s">
        <v>3918</v>
      </c>
      <c r="P852" s="2" t="s">
        <v>3801</v>
      </c>
      <c r="Q852" s="157" t="s">
        <v>3919</v>
      </c>
      <c r="R852" s="2">
        <v>55447</v>
      </c>
      <c r="S852" s="2">
        <v>45.023099999999999</v>
      </c>
      <c r="T852" s="2">
        <v>-93.501030999999998</v>
      </c>
      <c r="U852" s="2" t="s">
        <v>143</v>
      </c>
      <c r="W852" s="29"/>
      <c r="AC852" s="2" t="s">
        <v>51</v>
      </c>
      <c r="AD852" s="2">
        <f t="shared" si="13"/>
        <v>2023</v>
      </c>
    </row>
    <row r="853" spans="1:30" hidden="1">
      <c r="A853" s="2" t="s">
        <v>3912</v>
      </c>
      <c r="B853" s="210">
        <v>44943</v>
      </c>
      <c r="C853" s="216" t="s">
        <v>3920</v>
      </c>
      <c r="D853" s="216" t="s">
        <v>65</v>
      </c>
      <c r="E853" s="2" t="s">
        <v>66</v>
      </c>
      <c r="F853" s="1" t="s">
        <v>34</v>
      </c>
      <c r="G853" s="49" t="s">
        <v>3921</v>
      </c>
      <c r="H853" s="2" t="s">
        <v>2079</v>
      </c>
      <c r="I853" s="10"/>
      <c r="J853" s="29">
        <v>60</v>
      </c>
      <c r="L853" s="5">
        <v>10000</v>
      </c>
      <c r="M853" s="2" t="s">
        <v>318</v>
      </c>
      <c r="N853" s="2" t="s">
        <v>86</v>
      </c>
      <c r="O853" s="2" t="s">
        <v>3922</v>
      </c>
      <c r="P853" s="2" t="s">
        <v>3801</v>
      </c>
      <c r="Q853" s="178" t="s">
        <v>3923</v>
      </c>
      <c r="R853" s="2">
        <v>55402</v>
      </c>
      <c r="S853" s="2">
        <v>44.975915000000001</v>
      </c>
      <c r="T853" s="2">
        <v>-93.271825000000007</v>
      </c>
      <c r="W853" s="29"/>
      <c r="Z853" s="2" t="s">
        <v>1266</v>
      </c>
      <c r="AA853" s="2" t="s">
        <v>209</v>
      </c>
      <c r="AC853" s="2" t="s">
        <v>51</v>
      </c>
      <c r="AD853" s="2">
        <f t="shared" si="13"/>
        <v>2023</v>
      </c>
    </row>
    <row r="854" spans="1:30" hidden="1">
      <c r="A854" s="2" t="s">
        <v>3912</v>
      </c>
      <c r="B854" s="42">
        <v>44945</v>
      </c>
      <c r="C854" s="2" t="s">
        <v>3924</v>
      </c>
      <c r="D854" s="2" t="s">
        <v>203</v>
      </c>
      <c r="E854" s="2" t="s">
        <v>74</v>
      </c>
      <c r="F854" s="1" t="s">
        <v>34</v>
      </c>
      <c r="G854" s="49" t="s">
        <v>3925</v>
      </c>
      <c r="I854" s="10"/>
      <c r="J854" s="29">
        <f>300-80</f>
        <v>220</v>
      </c>
      <c r="M854" s="2" t="s">
        <v>1636</v>
      </c>
      <c r="N854" s="2" t="s">
        <v>140</v>
      </c>
      <c r="O854" s="2" t="s">
        <v>3926</v>
      </c>
      <c r="P854" s="2" t="s">
        <v>285</v>
      </c>
      <c r="Q854" s="157" t="s">
        <v>3927</v>
      </c>
      <c r="R854" s="2">
        <v>55121</v>
      </c>
      <c r="S854" s="2">
        <v>44.833874000000002</v>
      </c>
      <c r="T854" s="2">
        <v>-93.198974000000007</v>
      </c>
      <c r="W854" s="29"/>
      <c r="AC854" s="2" t="s">
        <v>51</v>
      </c>
      <c r="AD854" s="2">
        <f t="shared" si="13"/>
        <v>2023</v>
      </c>
    </row>
    <row r="855" spans="1:30" hidden="1">
      <c r="A855" s="2" t="s">
        <v>3912</v>
      </c>
      <c r="B855" s="210">
        <v>44945</v>
      </c>
      <c r="C855" s="216" t="s">
        <v>3928</v>
      </c>
      <c r="D855" s="216" t="s">
        <v>340</v>
      </c>
      <c r="E855" s="2" t="s">
        <v>66</v>
      </c>
      <c r="F855" s="1" t="s">
        <v>34</v>
      </c>
      <c r="G855" s="49" t="s">
        <v>3929</v>
      </c>
      <c r="H855" s="2" t="s">
        <v>2336</v>
      </c>
      <c r="I855" s="10"/>
      <c r="J855" s="29">
        <v>5</v>
      </c>
      <c r="L855" s="5">
        <v>5700</v>
      </c>
      <c r="M855" s="2" t="s">
        <v>417</v>
      </c>
      <c r="N855" s="2" t="s">
        <v>48</v>
      </c>
      <c r="O855" s="2" t="s">
        <v>3930</v>
      </c>
      <c r="P855" s="2" t="s">
        <v>3801</v>
      </c>
      <c r="Q855" s="2" t="s">
        <v>3931</v>
      </c>
      <c r="R855" s="2">
        <v>55411</v>
      </c>
      <c r="S855" s="2">
        <v>44.987650000000002</v>
      </c>
      <c r="T855" s="2">
        <v>-93.431894</v>
      </c>
      <c r="W855" s="29"/>
      <c r="Z855" s="2" t="s">
        <v>991</v>
      </c>
      <c r="AA855" s="2" t="s">
        <v>992</v>
      </c>
      <c r="AC855" s="2" t="s">
        <v>51</v>
      </c>
      <c r="AD855" s="2">
        <f t="shared" si="13"/>
        <v>2023</v>
      </c>
    </row>
    <row r="856" spans="1:30" ht="15.75" hidden="1">
      <c r="A856" s="2" t="s">
        <v>3912</v>
      </c>
      <c r="B856" s="42">
        <v>44945</v>
      </c>
      <c r="C856" s="2" t="s">
        <v>3932</v>
      </c>
      <c r="D856" s="2" t="s">
        <v>677</v>
      </c>
      <c r="E856" s="2" t="s">
        <v>677</v>
      </c>
      <c r="F856" s="1" t="s">
        <v>34</v>
      </c>
      <c r="G856" s="49" t="s">
        <v>3933</v>
      </c>
      <c r="H856" s="2" t="s">
        <v>131</v>
      </c>
      <c r="I856" s="132"/>
      <c r="J856" s="29"/>
      <c r="M856" s="2" t="s">
        <v>2799</v>
      </c>
      <c r="N856" s="2" t="s">
        <v>48</v>
      </c>
      <c r="O856" s="2" t="s">
        <v>3934</v>
      </c>
      <c r="P856" s="2" t="s">
        <v>647</v>
      </c>
      <c r="Q856" s="2" t="s">
        <v>3935</v>
      </c>
      <c r="R856" s="2">
        <v>55303</v>
      </c>
      <c r="S856" s="2">
        <v>45.218159999999997</v>
      </c>
      <c r="T856" s="2">
        <v>-93.415278999999998</v>
      </c>
      <c r="W856" s="29"/>
      <c r="AC856" s="2" t="s">
        <v>51</v>
      </c>
      <c r="AD856" s="2">
        <f t="shared" si="13"/>
        <v>2023</v>
      </c>
    </row>
    <row r="857" spans="1:30" hidden="1">
      <c r="A857" s="2" t="s">
        <v>3912</v>
      </c>
      <c r="B857" s="42">
        <v>44945</v>
      </c>
      <c r="C857" s="2" t="s">
        <v>3936</v>
      </c>
      <c r="D857" s="2" t="s">
        <v>270</v>
      </c>
      <c r="E857" s="2" t="s">
        <v>99</v>
      </c>
      <c r="F857" s="1" t="s">
        <v>34</v>
      </c>
      <c r="G857" s="49" t="s">
        <v>3937</v>
      </c>
      <c r="H857" s="2" t="s">
        <v>3231</v>
      </c>
      <c r="I857" s="10"/>
      <c r="J857" s="29"/>
      <c r="L857" s="5">
        <v>76000</v>
      </c>
      <c r="N857" s="2" t="s">
        <v>69</v>
      </c>
      <c r="O857" s="2" t="s">
        <v>3938</v>
      </c>
      <c r="P857" s="2" t="s">
        <v>3801</v>
      </c>
      <c r="Q857" s="2" t="s">
        <v>3939</v>
      </c>
      <c r="R857" s="2">
        <v>55112</v>
      </c>
      <c r="S857" s="2">
        <v>45.074550000000002</v>
      </c>
      <c r="T857" s="2">
        <v>-93.184240000000003</v>
      </c>
      <c r="W857" s="29"/>
      <c r="Z857" s="2" t="s">
        <v>1739</v>
      </c>
      <c r="AA857" s="2" t="s">
        <v>1820</v>
      </c>
      <c r="AC857" s="2" t="s">
        <v>51</v>
      </c>
      <c r="AD857" s="2">
        <f t="shared" si="13"/>
        <v>2023</v>
      </c>
    </row>
    <row r="858" spans="1:30" ht="15.75" hidden="1">
      <c r="A858" s="2" t="s">
        <v>3912</v>
      </c>
      <c r="B858" s="42">
        <v>44945</v>
      </c>
      <c r="C858" s="2" t="s">
        <v>3940</v>
      </c>
      <c r="D858" s="2" t="s">
        <v>677</v>
      </c>
      <c r="E858" s="2" t="s">
        <v>677</v>
      </c>
      <c r="F858" s="1" t="s">
        <v>34</v>
      </c>
      <c r="G858" s="49" t="s">
        <v>3941</v>
      </c>
      <c r="H858" s="2" t="s">
        <v>131</v>
      </c>
      <c r="I858" s="133"/>
      <c r="M858" s="2" t="s">
        <v>2799</v>
      </c>
      <c r="N858" s="2" t="s">
        <v>48</v>
      </c>
      <c r="O858" s="2" t="s">
        <v>3934</v>
      </c>
      <c r="P858" s="2" t="s">
        <v>647</v>
      </c>
      <c r="Q858" s="2" t="s">
        <v>3935</v>
      </c>
      <c r="R858" s="2">
        <v>55303</v>
      </c>
      <c r="S858" s="2">
        <v>45.218159999999997</v>
      </c>
      <c r="T858" s="2">
        <v>-93.415278999999998</v>
      </c>
      <c r="W858" s="5"/>
      <c r="AC858" s="2" t="s">
        <v>51</v>
      </c>
      <c r="AD858" s="2">
        <f t="shared" si="13"/>
        <v>2023</v>
      </c>
    </row>
    <row r="859" spans="1:30" hidden="1">
      <c r="A859" s="2" t="s">
        <v>3912</v>
      </c>
      <c r="B859" s="42">
        <v>44949</v>
      </c>
      <c r="C859" s="1" t="s">
        <v>1985</v>
      </c>
      <c r="D859" s="2" t="s">
        <v>1741</v>
      </c>
      <c r="E859" s="2" t="s">
        <v>1253</v>
      </c>
      <c r="F859" s="1" t="s">
        <v>34</v>
      </c>
      <c r="G859" s="2" t="s">
        <v>3942</v>
      </c>
      <c r="H859" s="2" t="s">
        <v>131</v>
      </c>
      <c r="I859" s="10">
        <v>5000000</v>
      </c>
      <c r="J859" s="29"/>
      <c r="N859" s="1" t="s">
        <v>384</v>
      </c>
      <c r="O859" s="2" t="s">
        <v>3943</v>
      </c>
      <c r="P859" s="2" t="s">
        <v>3498</v>
      </c>
      <c r="Q859" s="2" t="s">
        <v>3944</v>
      </c>
      <c r="R859" s="2">
        <v>55060</v>
      </c>
      <c r="S859" s="2">
        <v>44.086930000000002</v>
      </c>
      <c r="T859" s="2">
        <v>-93.265110000000007</v>
      </c>
      <c r="W859" s="10"/>
      <c r="Z859" s="1" t="s">
        <v>601</v>
      </c>
      <c r="AA859" s="1" t="s">
        <v>34</v>
      </c>
      <c r="AC859" s="2" t="s">
        <v>120</v>
      </c>
      <c r="AD859" s="2">
        <v>2023</v>
      </c>
    </row>
    <row r="860" spans="1:30" hidden="1">
      <c r="A860" s="2" t="s">
        <v>3912</v>
      </c>
      <c r="B860" s="184">
        <v>44949</v>
      </c>
      <c r="C860" s="2" t="s">
        <v>3945</v>
      </c>
      <c r="D860" s="2" t="s">
        <v>528</v>
      </c>
      <c r="E860" s="2" t="s">
        <v>66</v>
      </c>
      <c r="F860" s="1" t="s">
        <v>34</v>
      </c>
      <c r="G860" s="49" t="s">
        <v>3946</v>
      </c>
      <c r="H860" s="2" t="s">
        <v>2079</v>
      </c>
      <c r="I860" s="10">
        <v>395700</v>
      </c>
      <c r="M860" s="2" t="s">
        <v>450</v>
      </c>
      <c r="N860" s="2" t="s">
        <v>48</v>
      </c>
      <c r="O860" s="7" t="s">
        <v>2084</v>
      </c>
      <c r="P860" s="2" t="s">
        <v>2375</v>
      </c>
      <c r="Q860" s="2" t="s">
        <v>3947</v>
      </c>
      <c r="R860" s="2">
        <v>55437</v>
      </c>
      <c r="S860" s="2">
        <v>44.803137999999997</v>
      </c>
      <c r="T860" s="2">
        <v>-93.355596000000006</v>
      </c>
      <c r="W860" s="5"/>
      <c r="Z860" s="2" t="s">
        <v>3948</v>
      </c>
      <c r="AA860" s="2" t="s">
        <v>209</v>
      </c>
      <c r="AC860" s="2" t="s">
        <v>51</v>
      </c>
      <c r="AD860" s="2">
        <f t="shared" ref="AD860:AD923" si="14">YEAR(B860)</f>
        <v>2023</v>
      </c>
    </row>
    <row r="861" spans="1:30" hidden="1">
      <c r="A861" s="2" t="s">
        <v>3912</v>
      </c>
      <c r="B861" s="42">
        <v>44950</v>
      </c>
      <c r="C861" s="51" t="s">
        <v>3949</v>
      </c>
      <c r="D861" s="2" t="s">
        <v>219</v>
      </c>
      <c r="E861" s="2" t="s">
        <v>44</v>
      </c>
      <c r="F861" s="1" t="s">
        <v>34</v>
      </c>
      <c r="G861" s="49" t="s">
        <v>3950</v>
      </c>
      <c r="H861" s="2" t="s">
        <v>3231</v>
      </c>
      <c r="I861" s="37"/>
      <c r="J861" s="29">
        <v>35</v>
      </c>
      <c r="L861" s="5">
        <v>125000</v>
      </c>
      <c r="N861" s="2" t="s">
        <v>313</v>
      </c>
      <c r="O861" s="2" t="s">
        <v>3951</v>
      </c>
      <c r="P861" s="2" t="s">
        <v>647</v>
      </c>
      <c r="Q861" s="2" t="s">
        <v>3952</v>
      </c>
      <c r="R861" s="2">
        <v>55016</v>
      </c>
      <c r="S861" s="2">
        <v>44.818449999999999</v>
      </c>
      <c r="T861" s="2">
        <v>-92.952702000000002</v>
      </c>
      <c r="W861" s="5"/>
      <c r="Z861" s="2" t="s">
        <v>3953</v>
      </c>
      <c r="AA861" s="2" t="s">
        <v>961</v>
      </c>
      <c r="AC861" s="2" t="s">
        <v>51</v>
      </c>
      <c r="AD861" s="2">
        <f t="shared" si="14"/>
        <v>2023</v>
      </c>
    </row>
    <row r="862" spans="1:30" hidden="1">
      <c r="A862" s="2" t="s">
        <v>3912</v>
      </c>
      <c r="B862" s="210">
        <v>44952</v>
      </c>
      <c r="C862" s="221" t="s">
        <v>3954</v>
      </c>
      <c r="D862" s="2" t="s">
        <v>165</v>
      </c>
      <c r="E862" s="2" t="s">
        <v>66</v>
      </c>
      <c r="F862" s="1" t="s">
        <v>34</v>
      </c>
      <c r="G862" s="49" t="s">
        <v>3955</v>
      </c>
      <c r="H862" s="2" t="s">
        <v>2834</v>
      </c>
      <c r="I862" s="37">
        <v>25000000</v>
      </c>
      <c r="J862" s="29">
        <v>75</v>
      </c>
      <c r="L862" s="5">
        <v>110000</v>
      </c>
      <c r="M862" s="2" t="s">
        <v>167</v>
      </c>
      <c r="N862" s="2" t="s">
        <v>48</v>
      </c>
      <c r="O862" s="2" t="s">
        <v>3956</v>
      </c>
      <c r="P862" s="2" t="s">
        <v>3957</v>
      </c>
      <c r="Q862" s="187" t="s">
        <v>3958</v>
      </c>
      <c r="R862" s="2">
        <v>55311</v>
      </c>
      <c r="S862" s="2">
        <v>45.093266999999997</v>
      </c>
      <c r="T862" s="2">
        <v>-93.450586999999999</v>
      </c>
      <c r="U862" s="2" t="s">
        <v>378</v>
      </c>
      <c r="V862" s="2" t="s">
        <v>3959</v>
      </c>
      <c r="W862" s="29">
        <f>450000+600000</f>
        <v>1050000</v>
      </c>
      <c r="AC862" s="2" t="s">
        <v>51</v>
      </c>
      <c r="AD862" s="2">
        <f t="shared" si="14"/>
        <v>2023</v>
      </c>
    </row>
    <row r="863" spans="1:30" ht="15.75" hidden="1">
      <c r="A863" s="2" t="s">
        <v>3912</v>
      </c>
      <c r="B863" s="42">
        <v>44953</v>
      </c>
      <c r="C863" s="51" t="s">
        <v>3960</v>
      </c>
      <c r="D863" s="2" t="s">
        <v>3358</v>
      </c>
      <c r="E863" s="2" t="s">
        <v>66</v>
      </c>
      <c r="F863" s="1" t="s">
        <v>34</v>
      </c>
      <c r="G863" s="49" t="s">
        <v>3961</v>
      </c>
      <c r="I863" s="37"/>
      <c r="J863" s="5">
        <v>12</v>
      </c>
      <c r="M863" s="2" t="s">
        <v>531</v>
      </c>
      <c r="N863" s="2" t="s">
        <v>300</v>
      </c>
      <c r="O863" s="2" t="s">
        <v>3962</v>
      </c>
      <c r="P863" s="2" t="s">
        <v>3801</v>
      </c>
      <c r="Q863" s="64" t="s">
        <v>3963</v>
      </c>
      <c r="R863" s="64">
        <v>55343</v>
      </c>
      <c r="S863" s="2">
        <v>44.952762999999997</v>
      </c>
      <c r="T863" s="2">
        <v>-93.43723</v>
      </c>
      <c r="W863" s="5"/>
      <c r="AC863" s="2" t="s">
        <v>51</v>
      </c>
      <c r="AD863" s="2">
        <f t="shared" si="14"/>
        <v>2023</v>
      </c>
    </row>
    <row r="864" spans="1:30" hidden="1">
      <c r="A864" s="2" t="s">
        <v>3912</v>
      </c>
      <c r="B864" s="42">
        <v>44956</v>
      </c>
      <c r="C864" s="1" t="s">
        <v>3964</v>
      </c>
      <c r="D864" s="2" t="s">
        <v>3908</v>
      </c>
      <c r="E864" s="2" t="s">
        <v>112</v>
      </c>
      <c r="F864" s="1" t="s">
        <v>34</v>
      </c>
      <c r="G864" s="49" t="s">
        <v>3965</v>
      </c>
      <c r="H864" s="2" t="s">
        <v>2159</v>
      </c>
      <c r="I864" s="10">
        <v>5000000</v>
      </c>
      <c r="J864" s="5">
        <v>28</v>
      </c>
      <c r="L864" s="5">
        <v>10000</v>
      </c>
      <c r="M864" s="2" t="s">
        <v>167</v>
      </c>
      <c r="N864" s="2" t="s">
        <v>48</v>
      </c>
      <c r="O864" s="2" t="s">
        <v>3966</v>
      </c>
      <c r="P864" s="2" t="s">
        <v>3967</v>
      </c>
      <c r="Q864" s="180"/>
      <c r="R864" s="2">
        <v>55901</v>
      </c>
      <c r="S864" s="2">
        <v>44.075285000000001</v>
      </c>
      <c r="T864" s="2">
        <v>-92.516915999999995</v>
      </c>
      <c r="U864" s="2" t="s">
        <v>378</v>
      </c>
      <c r="V864" s="2" t="s">
        <v>3968</v>
      </c>
      <c r="W864" s="5">
        <f>145550+720000</f>
        <v>865550</v>
      </c>
      <c r="AC864" s="2" t="s">
        <v>120</v>
      </c>
      <c r="AD864" s="2">
        <f t="shared" si="14"/>
        <v>2023</v>
      </c>
    </row>
    <row r="865" spans="1:30" hidden="1">
      <c r="A865" s="2" t="s">
        <v>3912</v>
      </c>
      <c r="B865" s="42">
        <v>44957</v>
      </c>
      <c r="C865" s="66" t="s">
        <v>3325</v>
      </c>
      <c r="D865" s="66" t="s">
        <v>546</v>
      </c>
      <c r="E865" s="2" t="s">
        <v>74</v>
      </c>
      <c r="F865" s="1" t="s">
        <v>34</v>
      </c>
      <c r="G865" s="49" t="s">
        <v>3969</v>
      </c>
      <c r="H865" s="2" t="s">
        <v>2746</v>
      </c>
      <c r="I865" s="10"/>
      <c r="J865" s="29"/>
      <c r="L865" s="5">
        <v>168000</v>
      </c>
      <c r="M865" s="2" t="s">
        <v>77</v>
      </c>
      <c r="N865" s="2" t="s">
        <v>77</v>
      </c>
      <c r="O865" s="2" t="s">
        <v>3327</v>
      </c>
      <c r="P865" s="2" t="s">
        <v>3009</v>
      </c>
      <c r="Q865" s="157" t="s">
        <v>3970</v>
      </c>
      <c r="R865" s="2">
        <v>55044</v>
      </c>
      <c r="S865" s="2">
        <v>44.632655</v>
      </c>
      <c r="T865" s="2">
        <v>-93.270914000000005</v>
      </c>
      <c r="W865" s="10"/>
      <c r="Z865" s="2" t="s">
        <v>3971</v>
      </c>
      <c r="AA865" s="2" t="s">
        <v>503</v>
      </c>
      <c r="AC865" s="2" t="s">
        <v>51</v>
      </c>
      <c r="AD865" s="2">
        <f t="shared" si="14"/>
        <v>2023</v>
      </c>
    </row>
    <row r="866" spans="1:30" hidden="1">
      <c r="A866" s="2" t="s">
        <v>3912</v>
      </c>
      <c r="B866" s="42">
        <v>44957</v>
      </c>
      <c r="C866" s="2" t="s">
        <v>3972</v>
      </c>
      <c r="D866" s="2" t="s">
        <v>467</v>
      </c>
      <c r="E866" s="2" t="s">
        <v>468</v>
      </c>
      <c r="F866" s="1" t="s">
        <v>34</v>
      </c>
      <c r="G866" s="49" t="s">
        <v>3973</v>
      </c>
      <c r="H866" s="2" t="s">
        <v>1024</v>
      </c>
      <c r="I866" s="10">
        <v>7000000</v>
      </c>
      <c r="J866" s="29">
        <v>40</v>
      </c>
      <c r="L866" s="5">
        <v>10000</v>
      </c>
      <c r="M866" s="2" t="s">
        <v>3974</v>
      </c>
      <c r="N866" s="2" t="s">
        <v>48</v>
      </c>
      <c r="O866" s="2" t="s">
        <v>3975</v>
      </c>
      <c r="P866" s="2" t="s">
        <v>3801</v>
      </c>
      <c r="Q866" s="180" t="s">
        <v>2529</v>
      </c>
      <c r="R866" s="2">
        <v>55021</v>
      </c>
      <c r="S866" s="2">
        <v>44.330658</v>
      </c>
      <c r="T866" s="2">
        <v>-93.291892000000004</v>
      </c>
      <c r="W866" s="29"/>
      <c r="X866" s="2" t="s">
        <v>2319</v>
      </c>
      <c r="Y866" s="2" t="s">
        <v>3976</v>
      </c>
      <c r="Z866" s="2" t="s">
        <v>3977</v>
      </c>
      <c r="AB866" s="2" t="s">
        <v>719</v>
      </c>
      <c r="AC866" s="2" t="s">
        <v>120</v>
      </c>
      <c r="AD866" s="2">
        <f t="shared" si="14"/>
        <v>2023</v>
      </c>
    </row>
    <row r="867" spans="1:30" hidden="1">
      <c r="A867" s="2" t="s">
        <v>3912</v>
      </c>
      <c r="B867" s="184">
        <v>44958</v>
      </c>
      <c r="C867" s="2" t="s">
        <v>3978</v>
      </c>
      <c r="D867" s="2" t="s">
        <v>528</v>
      </c>
      <c r="E867" s="2" t="s">
        <v>66</v>
      </c>
      <c r="F867" s="1" t="s">
        <v>34</v>
      </c>
      <c r="G867" s="49" t="s">
        <v>3979</v>
      </c>
      <c r="H867" s="2" t="s">
        <v>131</v>
      </c>
      <c r="I867" s="10">
        <v>4750000</v>
      </c>
      <c r="J867" s="29"/>
      <c r="M867" s="2" t="s">
        <v>450</v>
      </c>
      <c r="N867" s="2" t="s">
        <v>48</v>
      </c>
      <c r="O867" s="7" t="s">
        <v>2084</v>
      </c>
      <c r="P867" s="2" t="s">
        <v>2375</v>
      </c>
      <c r="Q867" s="2" t="s">
        <v>3980</v>
      </c>
      <c r="R867" s="2">
        <v>55431</v>
      </c>
      <c r="S867" s="2">
        <v>44.830478999999997</v>
      </c>
      <c r="T867" s="2">
        <v>-93.295376000000005</v>
      </c>
      <c r="W867" s="29"/>
      <c r="AC867" s="2" t="s">
        <v>51</v>
      </c>
      <c r="AD867" s="2">
        <f t="shared" si="14"/>
        <v>2023</v>
      </c>
    </row>
    <row r="868" spans="1:30" hidden="1">
      <c r="A868" s="2" t="s">
        <v>3912</v>
      </c>
      <c r="B868" s="42">
        <v>44965</v>
      </c>
      <c r="C868" s="164" t="s">
        <v>3981</v>
      </c>
      <c r="D868" s="2" t="s">
        <v>40</v>
      </c>
      <c r="E868" s="2" t="s">
        <v>1172</v>
      </c>
      <c r="F868" s="1" t="s">
        <v>34</v>
      </c>
      <c r="G868" s="49" t="s">
        <v>3982</v>
      </c>
      <c r="H868" s="2" t="s">
        <v>131</v>
      </c>
      <c r="I868" s="10">
        <v>3800000</v>
      </c>
      <c r="J868" s="29">
        <v>20</v>
      </c>
      <c r="L868" s="5">
        <v>5000</v>
      </c>
      <c r="M868" s="2" t="s">
        <v>3902</v>
      </c>
      <c r="N868" s="2" t="s">
        <v>48</v>
      </c>
      <c r="O868" s="2" t="s">
        <v>3983</v>
      </c>
      <c r="P868" s="2" t="s">
        <v>3984</v>
      </c>
      <c r="Q868" s="180" t="s">
        <v>3985</v>
      </c>
      <c r="R868" s="2">
        <v>56304</v>
      </c>
      <c r="S868" s="2">
        <v>45.570971</v>
      </c>
      <c r="T868" s="2">
        <v>-94.143893000000006</v>
      </c>
      <c r="U868" s="2" t="s">
        <v>378</v>
      </c>
      <c r="V868" s="2" t="s">
        <v>3986</v>
      </c>
      <c r="W868" s="11">
        <f>341500+125000</f>
        <v>466500</v>
      </c>
      <c r="AC868" s="2" t="s">
        <v>41</v>
      </c>
      <c r="AD868" s="2">
        <f t="shared" si="14"/>
        <v>2023</v>
      </c>
    </row>
    <row r="869" spans="1:30" hidden="1">
      <c r="A869" s="2" t="s">
        <v>3912</v>
      </c>
      <c r="B869" s="210">
        <v>44965</v>
      </c>
      <c r="C869" s="216" t="s">
        <v>3987</v>
      </c>
      <c r="D869" s="216" t="s">
        <v>65</v>
      </c>
      <c r="E869" s="2" t="s">
        <v>66</v>
      </c>
      <c r="F869" s="1" t="s">
        <v>34</v>
      </c>
      <c r="G869" s="49" t="s">
        <v>3988</v>
      </c>
      <c r="H869" s="2" t="s">
        <v>2079</v>
      </c>
      <c r="I869" s="10"/>
      <c r="J869" s="29"/>
      <c r="M869" s="2" t="s">
        <v>132</v>
      </c>
      <c r="N869" s="2" t="s">
        <v>48</v>
      </c>
      <c r="O869" s="7" t="s">
        <v>3989</v>
      </c>
      <c r="P869" s="2" t="s">
        <v>2597</v>
      </c>
      <c r="Q869" s="180"/>
      <c r="R869" s="2">
        <v>55401</v>
      </c>
      <c r="S869" s="2">
        <v>44.984577000000002</v>
      </c>
      <c r="T869" s="2">
        <v>-93.269097000000002</v>
      </c>
      <c r="W869" s="29"/>
      <c r="X869" s="2" t="s">
        <v>2319</v>
      </c>
      <c r="Y869" s="2" t="s">
        <v>3987</v>
      </c>
      <c r="Z869" s="2" t="s">
        <v>3990</v>
      </c>
      <c r="AB869" s="2" t="s">
        <v>2014</v>
      </c>
      <c r="AC869" s="2" t="s">
        <v>51</v>
      </c>
      <c r="AD869" s="2">
        <f t="shared" si="14"/>
        <v>2023</v>
      </c>
    </row>
    <row r="870" spans="1:30" hidden="1">
      <c r="A870" s="2" t="s">
        <v>3912</v>
      </c>
      <c r="B870" s="42">
        <v>44967</v>
      </c>
      <c r="C870" s="2" t="s">
        <v>3991</v>
      </c>
      <c r="D870" s="2" t="s">
        <v>1143</v>
      </c>
      <c r="E870" s="2" t="s">
        <v>907</v>
      </c>
      <c r="F870" s="66" t="s">
        <v>34</v>
      </c>
      <c r="G870" s="49" t="s">
        <v>3992</v>
      </c>
      <c r="H870" s="2" t="s">
        <v>131</v>
      </c>
      <c r="I870" s="29">
        <v>15096125.630000001</v>
      </c>
      <c r="J870" s="95">
        <v>32</v>
      </c>
      <c r="L870" s="5">
        <v>40000</v>
      </c>
      <c r="M870" s="2" t="s">
        <v>3809</v>
      </c>
      <c r="N870" s="2" t="s">
        <v>48</v>
      </c>
      <c r="O870" s="2" t="s">
        <v>3993</v>
      </c>
      <c r="P870" s="2" t="s">
        <v>3994</v>
      </c>
      <c r="Q870" s="157" t="s">
        <v>3995</v>
      </c>
      <c r="R870" s="2">
        <v>56345</v>
      </c>
      <c r="S870" s="2">
        <v>45.986955999999999</v>
      </c>
      <c r="T870" s="2">
        <v>-94.378587999999993</v>
      </c>
      <c r="U870" s="2" t="s">
        <v>378</v>
      </c>
      <c r="V870" s="2" t="s">
        <v>3996</v>
      </c>
      <c r="W870" s="11">
        <f>175000+190000</f>
        <v>365000</v>
      </c>
      <c r="AC870" s="2" t="s">
        <v>41</v>
      </c>
      <c r="AD870" s="2">
        <f t="shared" si="14"/>
        <v>2023</v>
      </c>
    </row>
    <row r="871" spans="1:30" hidden="1">
      <c r="A871" s="2" t="s">
        <v>3912</v>
      </c>
      <c r="B871" s="42">
        <v>44970</v>
      </c>
      <c r="C871" s="1" t="s">
        <v>3997</v>
      </c>
      <c r="D871" s="2" t="s">
        <v>677</v>
      </c>
      <c r="E871" s="2" t="s">
        <v>677</v>
      </c>
      <c r="F871" s="1" t="s">
        <v>34</v>
      </c>
      <c r="G871" s="49" t="s">
        <v>3998</v>
      </c>
      <c r="H871" s="2" t="s">
        <v>2130</v>
      </c>
      <c r="I871" s="10">
        <v>46500000</v>
      </c>
      <c r="J871" s="29">
        <v>50</v>
      </c>
      <c r="L871" s="5">
        <v>176000</v>
      </c>
      <c r="M871" s="2" t="s">
        <v>3902</v>
      </c>
      <c r="N871" s="2" t="s">
        <v>48</v>
      </c>
      <c r="O871" s="2" t="s">
        <v>3999</v>
      </c>
      <c r="P871" s="2" t="s">
        <v>4000</v>
      </c>
      <c r="Q871" s="180" t="s">
        <v>4001</v>
      </c>
      <c r="R871" s="2">
        <v>55303</v>
      </c>
      <c r="S871" s="2">
        <v>45.222994999999997</v>
      </c>
      <c r="T871" s="2">
        <v>-93.416155000000003</v>
      </c>
      <c r="U871" s="2" t="s">
        <v>378</v>
      </c>
      <c r="V871" s="2" t="s">
        <v>4002</v>
      </c>
      <c r="W871" s="10">
        <f>737000+250000</f>
        <v>987000</v>
      </c>
      <c r="AC871" s="2" t="s">
        <v>51</v>
      </c>
      <c r="AD871" s="2">
        <f t="shared" si="14"/>
        <v>2023</v>
      </c>
    </row>
    <row r="872" spans="1:30" hidden="1">
      <c r="A872" s="2" t="s">
        <v>3912</v>
      </c>
      <c r="B872" s="34">
        <v>44971</v>
      </c>
      <c r="C872" s="2" t="s">
        <v>4003</v>
      </c>
      <c r="D872" s="67" t="s">
        <v>546</v>
      </c>
      <c r="E872" s="2" t="s">
        <v>74</v>
      </c>
      <c r="F872" s="1" t="s">
        <v>34</v>
      </c>
      <c r="G872" s="49" t="s">
        <v>4004</v>
      </c>
      <c r="H872" s="2" t="s">
        <v>2079</v>
      </c>
      <c r="I872" s="10"/>
      <c r="J872" s="2"/>
      <c r="L872" s="2">
        <v>8100</v>
      </c>
      <c r="N872" s="2" t="s">
        <v>69</v>
      </c>
      <c r="O872" s="7" t="s">
        <v>4005</v>
      </c>
      <c r="P872" s="2" t="s">
        <v>3801</v>
      </c>
      <c r="Q872" s="2" t="s">
        <v>4006</v>
      </c>
      <c r="R872" s="2">
        <v>55044</v>
      </c>
      <c r="S872" s="2">
        <v>44.649242999999998</v>
      </c>
      <c r="T872" s="2">
        <v>-93.243161999999998</v>
      </c>
      <c r="W872" s="29"/>
      <c r="X872" s="2" t="s">
        <v>2319</v>
      </c>
      <c r="Y872" s="2" t="s">
        <v>4007</v>
      </c>
      <c r="Z872" s="2" t="s">
        <v>4008</v>
      </c>
      <c r="AB872" s="2" t="s">
        <v>1323</v>
      </c>
      <c r="AC872" s="2" t="s">
        <v>51</v>
      </c>
      <c r="AD872" s="2">
        <f t="shared" si="14"/>
        <v>2023</v>
      </c>
    </row>
    <row r="873" spans="1:30" ht="16.5" hidden="1">
      <c r="A873" s="2" t="s">
        <v>3912</v>
      </c>
      <c r="B873" s="34">
        <v>44971</v>
      </c>
      <c r="C873" s="2" t="s">
        <v>4003</v>
      </c>
      <c r="D873" s="67" t="s">
        <v>3908</v>
      </c>
      <c r="E873" s="2" t="s">
        <v>112</v>
      </c>
      <c r="F873" s="1" t="s">
        <v>34</v>
      </c>
      <c r="G873" s="49" t="s">
        <v>4009</v>
      </c>
      <c r="H873" s="2" t="s">
        <v>2079</v>
      </c>
      <c r="I873" s="10"/>
      <c r="J873" s="2"/>
      <c r="L873" s="2">
        <v>6000</v>
      </c>
      <c r="N873" s="2" t="s">
        <v>69</v>
      </c>
      <c r="O873" s="7" t="s">
        <v>4005</v>
      </c>
      <c r="P873" s="2" t="s">
        <v>3801</v>
      </c>
      <c r="Q873" s="167" t="s">
        <v>4010</v>
      </c>
      <c r="R873" s="2">
        <v>55902</v>
      </c>
      <c r="S873" s="2">
        <v>44.019945</v>
      </c>
      <c r="T873" s="2">
        <v>-92.464286999999999</v>
      </c>
      <c r="W873" s="29"/>
      <c r="X873" s="2" t="s">
        <v>2319</v>
      </c>
      <c r="Y873" s="2" t="s">
        <v>4007</v>
      </c>
      <c r="Z873" s="2" t="s">
        <v>4008</v>
      </c>
      <c r="AB873" s="2" t="s">
        <v>1323</v>
      </c>
      <c r="AC873" s="2" t="s">
        <v>120</v>
      </c>
      <c r="AD873" s="2">
        <f t="shared" si="14"/>
        <v>2023</v>
      </c>
    </row>
    <row r="874" spans="1:30" hidden="1">
      <c r="A874" s="2" t="s">
        <v>3912</v>
      </c>
      <c r="B874" s="42">
        <v>44980</v>
      </c>
      <c r="C874" s="2" t="s">
        <v>4011</v>
      </c>
      <c r="D874" s="2" t="s">
        <v>776</v>
      </c>
      <c r="E874" s="2" t="s">
        <v>66</v>
      </c>
      <c r="F874" s="1" t="s">
        <v>34</v>
      </c>
      <c r="G874" s="49" t="s">
        <v>4012</v>
      </c>
      <c r="I874" s="10"/>
      <c r="J874" s="29">
        <v>20</v>
      </c>
      <c r="M874" s="2" t="s">
        <v>4013</v>
      </c>
      <c r="N874" s="2" t="s">
        <v>86</v>
      </c>
      <c r="O874" s="2" t="s">
        <v>4014</v>
      </c>
      <c r="P874" s="2" t="s">
        <v>3801</v>
      </c>
      <c r="Q874" s="157" t="s">
        <v>4015</v>
      </c>
      <c r="R874" s="2">
        <v>55435</v>
      </c>
      <c r="S874" s="2">
        <v>44.881745000000002</v>
      </c>
      <c r="T874" s="2">
        <v>-93.323991000000007</v>
      </c>
      <c r="W874" s="29"/>
      <c r="AC874" s="2" t="s">
        <v>51</v>
      </c>
      <c r="AD874" s="2">
        <f t="shared" si="14"/>
        <v>2023</v>
      </c>
    </row>
    <row r="875" spans="1:30" hidden="1">
      <c r="A875" s="2" t="s">
        <v>3912</v>
      </c>
      <c r="B875" s="184">
        <v>44994</v>
      </c>
      <c r="C875" s="2" t="s">
        <v>4016</v>
      </c>
      <c r="D875" s="2" t="s">
        <v>528</v>
      </c>
      <c r="E875" s="2" t="s">
        <v>66</v>
      </c>
      <c r="F875" s="1" t="s">
        <v>34</v>
      </c>
      <c r="G875" s="49" t="s">
        <v>4017</v>
      </c>
      <c r="H875" s="2" t="s">
        <v>2336</v>
      </c>
      <c r="I875" s="10">
        <v>387880</v>
      </c>
      <c r="M875" s="2" t="s">
        <v>3902</v>
      </c>
      <c r="N875" s="2" t="s">
        <v>48</v>
      </c>
      <c r="O875" s="2" t="s">
        <v>3090</v>
      </c>
      <c r="P875" s="2" t="s">
        <v>4018</v>
      </c>
      <c r="Q875" s="2" t="s">
        <v>4019</v>
      </c>
      <c r="R875" s="2">
        <v>55431</v>
      </c>
      <c r="S875" s="2">
        <v>44.835746</v>
      </c>
      <c r="T875" s="2">
        <v>-93.299826999999993</v>
      </c>
      <c r="W875" s="5"/>
      <c r="AC875" s="2" t="s">
        <v>51</v>
      </c>
      <c r="AD875" s="2">
        <f t="shared" si="14"/>
        <v>2023</v>
      </c>
    </row>
    <row r="876" spans="1:30" hidden="1">
      <c r="A876" s="2" t="s">
        <v>3912</v>
      </c>
      <c r="B876" s="184">
        <v>44994</v>
      </c>
      <c r="C876" s="2" t="s">
        <v>4020</v>
      </c>
      <c r="D876" s="2" t="s">
        <v>528</v>
      </c>
      <c r="E876" s="2" t="s">
        <v>66</v>
      </c>
      <c r="F876" s="1" t="s">
        <v>34</v>
      </c>
      <c r="G876" s="49" t="s">
        <v>4021</v>
      </c>
      <c r="H876" s="2" t="s">
        <v>2336</v>
      </c>
      <c r="I876" s="10">
        <v>745500</v>
      </c>
      <c r="M876" s="2" t="s">
        <v>417</v>
      </c>
      <c r="N876" s="2" t="s">
        <v>48</v>
      </c>
      <c r="O876" s="2" t="s">
        <v>3090</v>
      </c>
      <c r="P876" s="2" t="s">
        <v>2375</v>
      </c>
      <c r="Q876" s="2" t="s">
        <v>4022</v>
      </c>
      <c r="R876" s="2">
        <v>55431</v>
      </c>
      <c r="S876" s="2">
        <v>44.843409000000001</v>
      </c>
      <c r="T876" s="2">
        <v>-93.312070000000006</v>
      </c>
      <c r="W876" s="5"/>
      <c r="Z876" s="2" t="s">
        <v>4023</v>
      </c>
      <c r="AA876" s="2" t="s">
        <v>1499</v>
      </c>
      <c r="AC876" s="2" t="s">
        <v>51</v>
      </c>
      <c r="AD876" s="2">
        <f t="shared" si="14"/>
        <v>2023</v>
      </c>
    </row>
    <row r="877" spans="1:30" hidden="1">
      <c r="A877" s="2" t="s">
        <v>3912</v>
      </c>
      <c r="B877" s="42">
        <v>44995</v>
      </c>
      <c r="C877" s="2" t="s">
        <v>4024</v>
      </c>
      <c r="D877" s="2" t="s">
        <v>448</v>
      </c>
      <c r="E877" s="2" t="s">
        <v>66</v>
      </c>
      <c r="F877" s="1" t="s">
        <v>34</v>
      </c>
      <c r="G877" s="49" t="s">
        <v>4025</v>
      </c>
      <c r="H877" s="2" t="s">
        <v>131</v>
      </c>
      <c r="I877" s="10">
        <v>30000000</v>
      </c>
      <c r="J877" s="29">
        <v>110</v>
      </c>
      <c r="L877" s="5">
        <v>113000</v>
      </c>
      <c r="M877" s="2" t="s">
        <v>417</v>
      </c>
      <c r="N877" s="2" t="s">
        <v>48</v>
      </c>
      <c r="O877" s="2" t="s">
        <v>4026</v>
      </c>
      <c r="P877" s="2" t="s">
        <v>285</v>
      </c>
      <c r="Q877" s="157" t="s">
        <v>4027</v>
      </c>
      <c r="R877" s="2">
        <v>55411</v>
      </c>
      <c r="S877" s="2">
        <v>44.998835999999997</v>
      </c>
      <c r="T877" s="2">
        <v>-93.281426999999994</v>
      </c>
      <c r="W877" s="29"/>
      <c r="AC877" s="2" t="s">
        <v>51</v>
      </c>
      <c r="AD877" s="2">
        <f t="shared" si="14"/>
        <v>2023</v>
      </c>
    </row>
    <row r="878" spans="1:30" hidden="1">
      <c r="A878" s="2" t="s">
        <v>3912</v>
      </c>
      <c r="B878" s="42">
        <v>44999</v>
      </c>
      <c r="C878" s="2" t="s">
        <v>4028</v>
      </c>
      <c r="D878" s="66" t="s">
        <v>174</v>
      </c>
      <c r="E878" s="2" t="s">
        <v>66</v>
      </c>
      <c r="F878" s="1" t="s">
        <v>34</v>
      </c>
      <c r="G878" s="49" t="s">
        <v>4029</v>
      </c>
      <c r="H878" s="2" t="s">
        <v>3231</v>
      </c>
      <c r="I878" s="11"/>
      <c r="M878" s="2" t="s">
        <v>3809</v>
      </c>
      <c r="N878" s="2" t="s">
        <v>48</v>
      </c>
      <c r="O878" s="2" t="s">
        <v>4030</v>
      </c>
      <c r="P878" s="2" t="s">
        <v>3821</v>
      </c>
      <c r="R878" s="2">
        <v>55443</v>
      </c>
      <c r="S878" s="2">
        <v>45.100481000000002</v>
      </c>
      <c r="T878" s="2">
        <v>-93.344358999999997</v>
      </c>
      <c r="W878" s="11"/>
      <c r="X878" s="2" t="s">
        <v>4031</v>
      </c>
      <c r="Y878" s="2" t="s">
        <v>4028</v>
      </c>
      <c r="Z878" s="2" t="s">
        <v>2695</v>
      </c>
      <c r="AA878" s="2" t="s">
        <v>2176</v>
      </c>
      <c r="AB878" s="2" t="s">
        <v>423</v>
      </c>
      <c r="AC878" s="2" t="s">
        <v>51</v>
      </c>
      <c r="AD878" s="2">
        <f t="shared" si="14"/>
        <v>2023</v>
      </c>
    </row>
    <row r="879" spans="1:30" hidden="1">
      <c r="A879" s="2" t="s">
        <v>3912</v>
      </c>
      <c r="B879" s="214">
        <v>44999</v>
      </c>
      <c r="C879" s="216" t="s">
        <v>4032</v>
      </c>
      <c r="D879" s="216" t="s">
        <v>528</v>
      </c>
      <c r="E879" s="216" t="s">
        <v>66</v>
      </c>
      <c r="F879" s="1" t="s">
        <v>34</v>
      </c>
      <c r="G879" s="49" t="s">
        <v>4033</v>
      </c>
      <c r="H879" s="2" t="s">
        <v>3231</v>
      </c>
      <c r="I879" s="10">
        <v>310327</v>
      </c>
      <c r="J879" s="29"/>
      <c r="M879" s="2" t="s">
        <v>2799</v>
      </c>
      <c r="N879" s="2" t="s">
        <v>48</v>
      </c>
      <c r="O879" s="2" t="s">
        <v>3090</v>
      </c>
      <c r="P879" s="2" t="s">
        <v>2375</v>
      </c>
      <c r="Q879" s="2" t="s">
        <v>4034</v>
      </c>
      <c r="R879" s="2">
        <v>55438</v>
      </c>
      <c r="S879" s="2">
        <v>44.805498</v>
      </c>
      <c r="T879" s="2">
        <v>-93.370191000000005</v>
      </c>
      <c r="W879" s="29"/>
      <c r="AC879" s="2" t="s">
        <v>51</v>
      </c>
      <c r="AD879" s="2">
        <f t="shared" si="14"/>
        <v>2023</v>
      </c>
    </row>
    <row r="880" spans="1:30" ht="18" hidden="1">
      <c r="A880" s="2" t="s">
        <v>3912</v>
      </c>
      <c r="B880" s="42">
        <v>45002</v>
      </c>
      <c r="C880" s="1" t="s">
        <v>4035</v>
      </c>
      <c r="D880" s="2" t="s">
        <v>539</v>
      </c>
      <c r="E880" s="2" t="s">
        <v>74</v>
      </c>
      <c r="F880" s="1" t="s">
        <v>34</v>
      </c>
      <c r="G880" s="49" t="s">
        <v>4036</v>
      </c>
      <c r="H880" s="2" t="s">
        <v>3231</v>
      </c>
      <c r="I880" s="10"/>
      <c r="J880" s="29"/>
      <c r="L880" s="5">
        <v>115888</v>
      </c>
      <c r="N880" s="2" t="s">
        <v>253</v>
      </c>
      <c r="O880" s="2" t="s">
        <v>4037</v>
      </c>
      <c r="Q880" s="185" t="s">
        <v>4038</v>
      </c>
      <c r="R880" s="2">
        <v>55337</v>
      </c>
      <c r="S880" s="2">
        <v>44.776609000000001</v>
      </c>
      <c r="T880" s="2">
        <v>-93.297257000000002</v>
      </c>
      <c r="W880" s="10"/>
      <c r="Z880" s="2" t="s">
        <v>4039</v>
      </c>
      <c r="AA880" s="2" t="s">
        <v>503</v>
      </c>
      <c r="AC880" s="2" t="s">
        <v>51</v>
      </c>
      <c r="AD880" s="2">
        <f t="shared" si="14"/>
        <v>2023</v>
      </c>
    </row>
    <row r="881" spans="1:30" hidden="1">
      <c r="A881" s="2" t="s">
        <v>3912</v>
      </c>
      <c r="B881" s="42">
        <v>45005</v>
      </c>
      <c r="C881" s="1" t="s">
        <v>4040</v>
      </c>
      <c r="D881" s="2" t="s">
        <v>625</v>
      </c>
      <c r="E881" s="2" t="s">
        <v>182</v>
      </c>
      <c r="F881" s="1" t="s">
        <v>34</v>
      </c>
      <c r="G881" s="49" t="s">
        <v>4041</v>
      </c>
      <c r="H881" s="2" t="s">
        <v>2214</v>
      </c>
      <c r="I881" s="10">
        <v>12910340</v>
      </c>
      <c r="J881" s="5">
        <v>60</v>
      </c>
      <c r="L881" s="5">
        <v>120000</v>
      </c>
      <c r="M881" s="2" t="s">
        <v>2307</v>
      </c>
      <c r="N881" s="2" t="s">
        <v>48</v>
      </c>
      <c r="O881" s="2" t="s">
        <v>4042</v>
      </c>
      <c r="P881" s="2" t="s">
        <v>4043</v>
      </c>
      <c r="Q881" s="180"/>
      <c r="R881" s="2">
        <v>56003</v>
      </c>
      <c r="S881" s="2">
        <v>44.173299999999998</v>
      </c>
      <c r="T881" s="2">
        <v>-94.033844999999999</v>
      </c>
      <c r="U881" s="2" t="s">
        <v>378</v>
      </c>
      <c r="V881" s="2" t="s">
        <v>4044</v>
      </c>
      <c r="W881" s="5">
        <f>800000+210000+2100000</f>
        <v>3110000</v>
      </c>
      <c r="Y881" s="2" t="s">
        <v>4045</v>
      </c>
      <c r="Z881" s="2" t="s">
        <v>4046</v>
      </c>
      <c r="AB881" s="2" t="s">
        <v>719</v>
      </c>
      <c r="AC881" s="2" t="s">
        <v>120</v>
      </c>
      <c r="AD881" s="2">
        <f t="shared" si="14"/>
        <v>2023</v>
      </c>
    </row>
    <row r="882" spans="1:30" hidden="1">
      <c r="A882" s="2" t="s">
        <v>3912</v>
      </c>
      <c r="B882" s="42">
        <v>45006</v>
      </c>
      <c r="C882" s="2" t="s">
        <v>3508</v>
      </c>
      <c r="D882" s="2" t="s">
        <v>65</v>
      </c>
      <c r="E882" s="2" t="s">
        <v>66</v>
      </c>
      <c r="F882" s="1" t="s">
        <v>34</v>
      </c>
      <c r="G882" s="49" t="s">
        <v>4047</v>
      </c>
      <c r="I882" s="10"/>
      <c r="J882" s="29">
        <v>75</v>
      </c>
      <c r="M882" s="2" t="s">
        <v>1636</v>
      </c>
      <c r="N882" s="2" t="s">
        <v>140</v>
      </c>
      <c r="O882" s="2" t="s">
        <v>4048</v>
      </c>
      <c r="P882" s="2" t="s">
        <v>3801</v>
      </c>
      <c r="Q882" s="157" t="s">
        <v>4049</v>
      </c>
      <c r="R882" s="2">
        <v>55413</v>
      </c>
      <c r="S882" s="2">
        <v>44.987501000000002</v>
      </c>
      <c r="T882" s="2">
        <v>-93.258700000000005</v>
      </c>
      <c r="U882" s="2" t="s">
        <v>143</v>
      </c>
      <c r="W882" s="5"/>
      <c r="AC882" s="2" t="s">
        <v>51</v>
      </c>
      <c r="AD882" s="2">
        <f t="shared" si="14"/>
        <v>2023</v>
      </c>
    </row>
    <row r="883" spans="1:30" hidden="1">
      <c r="A883" s="2" t="s">
        <v>3912</v>
      </c>
      <c r="B883" s="210">
        <v>45009</v>
      </c>
      <c r="C883" s="219" t="s">
        <v>4050</v>
      </c>
      <c r="D883" s="216" t="s">
        <v>2983</v>
      </c>
      <c r="E883" s="2" t="s">
        <v>2106</v>
      </c>
      <c r="F883" s="1" t="s">
        <v>34</v>
      </c>
      <c r="G883" s="49" t="s">
        <v>4051</v>
      </c>
      <c r="H883" s="2" t="s">
        <v>131</v>
      </c>
      <c r="I883" s="10">
        <v>1084000</v>
      </c>
      <c r="J883" s="5">
        <v>8</v>
      </c>
      <c r="L883" s="5">
        <v>10000</v>
      </c>
      <c r="M883" s="2" t="s">
        <v>3902</v>
      </c>
      <c r="N883" s="2" t="s">
        <v>48</v>
      </c>
      <c r="O883" s="2" t="s">
        <v>4052</v>
      </c>
      <c r="P883" s="2" t="s">
        <v>4053</v>
      </c>
      <c r="Q883" s="180" t="s">
        <v>4054</v>
      </c>
      <c r="R883" s="2">
        <v>56537</v>
      </c>
      <c r="S883" s="2">
        <v>46.293857000000003</v>
      </c>
      <c r="T883" s="2">
        <v>-96.094626000000005</v>
      </c>
      <c r="U883" s="2" t="s">
        <v>378</v>
      </c>
      <c r="V883" s="2" t="s">
        <v>1306</v>
      </c>
      <c r="W883" s="5">
        <v>160000</v>
      </c>
      <c r="X883" s="2" t="s">
        <v>2319</v>
      </c>
      <c r="AC883" s="2" t="s">
        <v>41</v>
      </c>
      <c r="AD883" s="2">
        <f t="shared" si="14"/>
        <v>2023</v>
      </c>
    </row>
    <row r="884" spans="1:30" hidden="1">
      <c r="A884" s="2" t="s">
        <v>3912</v>
      </c>
      <c r="B884" s="42">
        <v>45014</v>
      </c>
      <c r="C884" s="1" t="s">
        <v>509</v>
      </c>
      <c r="D884" s="66" t="s">
        <v>4055</v>
      </c>
      <c r="E884" s="2" t="s">
        <v>1590</v>
      </c>
      <c r="F884" s="1" t="s">
        <v>34</v>
      </c>
      <c r="G884" s="49" t="s">
        <v>4056</v>
      </c>
      <c r="H884" s="66" t="s">
        <v>3231</v>
      </c>
      <c r="I884" s="10"/>
      <c r="J884" s="29"/>
      <c r="L884" s="2">
        <v>163000</v>
      </c>
      <c r="M884" s="2" t="s">
        <v>2109</v>
      </c>
      <c r="N884" s="2" t="s">
        <v>37</v>
      </c>
      <c r="O884" s="66" t="s">
        <v>4057</v>
      </c>
      <c r="Q884" s="157"/>
      <c r="R884" s="2">
        <v>55733</v>
      </c>
      <c r="S884" s="2">
        <v>46.696275</v>
      </c>
      <c r="T884" s="2">
        <v>-92.364959999999996</v>
      </c>
      <c r="W884" s="10"/>
      <c r="AC884" s="2" t="s">
        <v>97</v>
      </c>
      <c r="AD884" s="2">
        <f t="shared" si="14"/>
        <v>2023</v>
      </c>
    </row>
    <row r="885" spans="1:30" hidden="1">
      <c r="A885" s="2" t="s">
        <v>3912</v>
      </c>
      <c r="B885" s="42">
        <v>45015</v>
      </c>
      <c r="C885" s="2" t="s">
        <v>4058</v>
      </c>
      <c r="D885" s="2" t="s">
        <v>340</v>
      </c>
      <c r="E885" s="2" t="s">
        <v>66</v>
      </c>
      <c r="F885" s="1" t="s">
        <v>34</v>
      </c>
      <c r="G885" s="49" t="s">
        <v>4059</v>
      </c>
      <c r="H885" s="2" t="s">
        <v>131</v>
      </c>
      <c r="I885" s="6">
        <v>25505731</v>
      </c>
      <c r="J885" s="5">
        <v>44</v>
      </c>
      <c r="L885" s="5">
        <v>100000</v>
      </c>
      <c r="M885" s="2" t="s">
        <v>417</v>
      </c>
      <c r="N885" s="2" t="s">
        <v>48</v>
      </c>
      <c r="O885" s="2" t="s">
        <v>4060</v>
      </c>
      <c r="Q885" s="180" t="s">
        <v>4061</v>
      </c>
      <c r="R885" s="2">
        <v>55441</v>
      </c>
      <c r="S885" s="2">
        <v>45.010519000000002</v>
      </c>
      <c r="T885" s="2">
        <v>-93.455509000000006</v>
      </c>
      <c r="U885" s="2" t="s">
        <v>378</v>
      </c>
      <c r="V885" s="2" t="s">
        <v>1576</v>
      </c>
      <c r="W885" s="11">
        <v>340000</v>
      </c>
      <c r="Y885" s="2" t="s">
        <v>4058</v>
      </c>
      <c r="Z885" s="2" t="s">
        <v>4062</v>
      </c>
      <c r="AB885" s="2" t="s">
        <v>1937</v>
      </c>
      <c r="AC885" s="2" t="s">
        <v>51</v>
      </c>
      <c r="AD885" s="2">
        <f t="shared" si="14"/>
        <v>2023</v>
      </c>
    </row>
    <row r="886" spans="1:30" hidden="1">
      <c r="A886" s="2" t="s">
        <v>3912</v>
      </c>
      <c r="B886" s="42">
        <v>45016</v>
      </c>
      <c r="C886" s="2" t="s">
        <v>4063</v>
      </c>
      <c r="D886" s="2" t="s">
        <v>539</v>
      </c>
      <c r="E886" s="2" t="s">
        <v>74</v>
      </c>
      <c r="F886" s="1" t="s">
        <v>34</v>
      </c>
      <c r="G886" s="49" t="s">
        <v>4064</v>
      </c>
      <c r="H886" s="2" t="s">
        <v>188</v>
      </c>
      <c r="I886" s="10">
        <v>500000</v>
      </c>
      <c r="L886" s="5">
        <v>15000</v>
      </c>
      <c r="M886" s="2" t="s">
        <v>3902</v>
      </c>
      <c r="N886" s="2" t="s">
        <v>48</v>
      </c>
      <c r="O886" s="2" t="s">
        <v>4065</v>
      </c>
      <c r="P886" s="2" t="s">
        <v>3801</v>
      </c>
      <c r="Q886" s="183" t="s">
        <v>4066</v>
      </c>
      <c r="R886" s="2">
        <v>55337</v>
      </c>
      <c r="S886" s="2">
        <v>44.730944000000001</v>
      </c>
      <c r="T886" s="2">
        <v>-93.291381000000001</v>
      </c>
      <c r="W886" s="5"/>
      <c r="AC886" s="2" t="s">
        <v>51</v>
      </c>
      <c r="AD886" s="2">
        <f t="shared" si="14"/>
        <v>2023</v>
      </c>
    </row>
    <row r="887" spans="1:30" hidden="1">
      <c r="A887" s="2" t="s">
        <v>4067</v>
      </c>
      <c r="B887" s="42">
        <v>45019</v>
      </c>
      <c r="C887" s="2" t="s">
        <v>4068</v>
      </c>
      <c r="D887" s="2" t="s">
        <v>676</v>
      </c>
      <c r="E887" s="2" t="s">
        <v>677</v>
      </c>
      <c r="F887" s="2" t="s">
        <v>34</v>
      </c>
      <c r="G887" s="2" t="s">
        <v>4069</v>
      </c>
      <c r="H887" s="2" t="s">
        <v>131</v>
      </c>
      <c r="I887" s="11">
        <v>10000000</v>
      </c>
      <c r="J887" s="5">
        <v>100</v>
      </c>
      <c r="K887" s="5"/>
      <c r="M887" s="2" t="s">
        <v>3902</v>
      </c>
      <c r="N887" s="2" t="s">
        <v>48</v>
      </c>
      <c r="O887" s="2" t="s">
        <v>4070</v>
      </c>
      <c r="P887" s="2" t="s">
        <v>2597</v>
      </c>
      <c r="Q887" s="178" t="s">
        <v>4071</v>
      </c>
      <c r="R887" s="2">
        <v>55432</v>
      </c>
      <c r="S887" s="2">
        <v>45.098626000000003</v>
      </c>
      <c r="T887" s="2">
        <v>-93.233737000000005</v>
      </c>
      <c r="W887" s="11"/>
      <c r="AC887" s="2" t="s">
        <v>51</v>
      </c>
      <c r="AD887" s="2">
        <f t="shared" si="14"/>
        <v>2023</v>
      </c>
    </row>
    <row r="888" spans="1:30" ht="16.5" hidden="1">
      <c r="A888" s="2" t="s">
        <v>4067</v>
      </c>
      <c r="B888" s="42">
        <v>45020</v>
      </c>
      <c r="C888" s="2" t="s">
        <v>4072</v>
      </c>
      <c r="D888" s="2" t="s">
        <v>65</v>
      </c>
      <c r="E888" s="2" t="s">
        <v>66</v>
      </c>
      <c r="F888" s="1" t="s">
        <v>34</v>
      </c>
      <c r="G888" s="49" t="s">
        <v>4073</v>
      </c>
      <c r="H888" s="2" t="s">
        <v>2454</v>
      </c>
      <c r="I888" s="10">
        <v>2550000</v>
      </c>
      <c r="J888" s="5">
        <v>8</v>
      </c>
      <c r="L888" s="5">
        <f>15000</f>
        <v>15000</v>
      </c>
      <c r="M888" s="2" t="s">
        <v>2147</v>
      </c>
      <c r="N888" s="2" t="s">
        <v>48</v>
      </c>
      <c r="O888" s="2" t="s">
        <v>4074</v>
      </c>
      <c r="P888" s="2" t="s">
        <v>3801</v>
      </c>
      <c r="Q888" s="167" t="s">
        <v>4075</v>
      </c>
      <c r="R888" s="2">
        <v>55412</v>
      </c>
      <c r="S888" s="2">
        <v>45.028075000000001</v>
      </c>
      <c r="T888" s="2">
        <v>-93.284914000000001</v>
      </c>
      <c r="W888" s="11"/>
      <c r="AC888" s="2" t="s">
        <v>51</v>
      </c>
      <c r="AD888" s="2">
        <f t="shared" si="14"/>
        <v>2023</v>
      </c>
    </row>
    <row r="889" spans="1:30" hidden="1">
      <c r="A889" s="2" t="s">
        <v>4067</v>
      </c>
      <c r="B889" s="42">
        <v>45020</v>
      </c>
      <c r="C889" s="2" t="s">
        <v>4076</v>
      </c>
      <c r="D889" s="2" t="s">
        <v>197</v>
      </c>
      <c r="E889" s="2" t="s">
        <v>99</v>
      </c>
      <c r="F889" s="1" t="s">
        <v>34</v>
      </c>
      <c r="G889" s="49" t="s">
        <v>4077</v>
      </c>
      <c r="H889" s="2" t="s">
        <v>2079</v>
      </c>
      <c r="I889" s="10"/>
      <c r="J889" s="29">
        <v>1</v>
      </c>
      <c r="M889" s="2" t="s">
        <v>167</v>
      </c>
      <c r="N889" s="2" t="s">
        <v>48</v>
      </c>
      <c r="O889" s="2" t="s">
        <v>4078</v>
      </c>
      <c r="P889" s="2" t="s">
        <v>4079</v>
      </c>
      <c r="Q889" s="180" t="s">
        <v>4080</v>
      </c>
      <c r="R889" s="2">
        <v>55113</v>
      </c>
      <c r="S889" s="2">
        <v>45.011606</v>
      </c>
      <c r="T889" s="2">
        <v>-93.106486000000004</v>
      </c>
      <c r="W889" s="10"/>
      <c r="X889" s="2" t="s">
        <v>2319</v>
      </c>
      <c r="Y889" s="2" t="s">
        <v>4076</v>
      </c>
      <c r="Z889" s="2" t="s">
        <v>4081</v>
      </c>
      <c r="AB889" s="2" t="s">
        <v>1882</v>
      </c>
      <c r="AC889" s="2" t="s">
        <v>51</v>
      </c>
      <c r="AD889" s="2">
        <f t="shared" si="14"/>
        <v>2023</v>
      </c>
    </row>
    <row r="890" spans="1:30" hidden="1">
      <c r="A890" s="2" t="s">
        <v>4067</v>
      </c>
      <c r="B890" s="184">
        <v>45023</v>
      </c>
      <c r="C890" s="2" t="s">
        <v>3687</v>
      </c>
      <c r="D890" s="2" t="s">
        <v>528</v>
      </c>
      <c r="E890" s="2" t="s">
        <v>66</v>
      </c>
      <c r="F890" s="1" t="s">
        <v>34</v>
      </c>
      <c r="G890" s="49" t="s">
        <v>4082</v>
      </c>
      <c r="H890" s="2" t="s">
        <v>2079</v>
      </c>
      <c r="I890" s="10">
        <v>3000000</v>
      </c>
      <c r="J890" s="29"/>
      <c r="M890" s="2" t="s">
        <v>3902</v>
      </c>
      <c r="N890" s="2" t="s">
        <v>48</v>
      </c>
      <c r="O890" s="7" t="s">
        <v>2084</v>
      </c>
      <c r="P890" s="2" t="s">
        <v>2375</v>
      </c>
      <c r="Q890" s="2" t="s">
        <v>3689</v>
      </c>
      <c r="R890" s="2">
        <v>55420</v>
      </c>
      <c r="S890" s="2">
        <v>44.857785999999997</v>
      </c>
      <c r="T890" s="2">
        <v>-93.287079000000006</v>
      </c>
      <c r="W890" s="10"/>
      <c r="AC890" s="2" t="s">
        <v>51</v>
      </c>
      <c r="AD890" s="2">
        <f t="shared" si="14"/>
        <v>2023</v>
      </c>
    </row>
    <row r="891" spans="1:30" hidden="1">
      <c r="A891" s="2" t="s">
        <v>4067</v>
      </c>
      <c r="B891" s="184">
        <v>45023</v>
      </c>
      <c r="C891" s="2" t="s">
        <v>3321</v>
      </c>
      <c r="D891" s="2" t="s">
        <v>528</v>
      </c>
      <c r="E891" s="2" t="s">
        <v>66</v>
      </c>
      <c r="F891" s="1" t="s">
        <v>34</v>
      </c>
      <c r="G891" s="49" t="s">
        <v>4083</v>
      </c>
      <c r="H891" s="2" t="s">
        <v>2130</v>
      </c>
      <c r="I891" s="10">
        <v>1069573</v>
      </c>
      <c r="J891" s="29"/>
      <c r="M891" s="2" t="s">
        <v>77</v>
      </c>
      <c r="N891" s="2" t="s">
        <v>77</v>
      </c>
      <c r="O891" s="7" t="s">
        <v>2084</v>
      </c>
      <c r="P891" s="2" t="s">
        <v>2375</v>
      </c>
      <c r="Q891" s="2" t="s">
        <v>3324</v>
      </c>
      <c r="R891" s="2">
        <v>55420</v>
      </c>
      <c r="S891" s="2">
        <v>44.842655000000001</v>
      </c>
      <c r="T891" s="2">
        <v>-93.284991000000005</v>
      </c>
      <c r="W891" s="10"/>
      <c r="Y891" s="2" t="s">
        <v>4084</v>
      </c>
      <c r="Z891" s="2" t="s">
        <v>4085</v>
      </c>
      <c r="AB891" s="2" t="s">
        <v>119</v>
      </c>
      <c r="AC891" s="2" t="s">
        <v>51</v>
      </c>
      <c r="AD891" s="2">
        <f t="shared" si="14"/>
        <v>2023</v>
      </c>
    </row>
    <row r="892" spans="1:30" hidden="1">
      <c r="A892" s="2" t="s">
        <v>4067</v>
      </c>
      <c r="B892" s="42">
        <v>45033</v>
      </c>
      <c r="C892" s="1" t="s">
        <v>4086</v>
      </c>
      <c r="D892" s="1" t="s">
        <v>40</v>
      </c>
      <c r="E892" s="2" t="s">
        <v>952</v>
      </c>
      <c r="F892" s="1" t="s">
        <v>34</v>
      </c>
      <c r="G892" s="49" t="s">
        <v>4087</v>
      </c>
      <c r="H892" s="2" t="s">
        <v>131</v>
      </c>
      <c r="I892" s="10">
        <v>350000</v>
      </c>
      <c r="J892" s="29"/>
      <c r="M892" s="2" t="s">
        <v>167</v>
      </c>
      <c r="N892" s="2" t="s">
        <v>48</v>
      </c>
      <c r="O892" s="2" t="s">
        <v>4088</v>
      </c>
      <c r="P892" s="2" t="s">
        <v>4089</v>
      </c>
      <c r="Q892" s="2" t="s">
        <v>4090</v>
      </c>
      <c r="R892" s="2">
        <v>56303</v>
      </c>
      <c r="S892" s="2">
        <v>45.560004999999997</v>
      </c>
      <c r="T892" s="2">
        <v>-94.244058999999993</v>
      </c>
      <c r="W892" s="10"/>
      <c r="Z892" s="2" t="s">
        <v>4091</v>
      </c>
      <c r="AB892" s="2" t="s">
        <v>719</v>
      </c>
      <c r="AC892" s="2" t="s">
        <v>41</v>
      </c>
      <c r="AD892" s="2">
        <f t="shared" si="14"/>
        <v>2023</v>
      </c>
    </row>
    <row r="893" spans="1:30" hidden="1">
      <c r="A893" s="2" t="s">
        <v>4067</v>
      </c>
      <c r="B893" s="42">
        <v>45034</v>
      </c>
      <c r="C893" s="2" t="s">
        <v>4092</v>
      </c>
      <c r="D893" s="2" t="s">
        <v>3908</v>
      </c>
      <c r="E893" s="2" t="s">
        <v>112</v>
      </c>
      <c r="F893" s="1" t="s">
        <v>34</v>
      </c>
      <c r="G893" s="49" t="s">
        <v>4093</v>
      </c>
      <c r="H893" s="2" t="s">
        <v>131</v>
      </c>
      <c r="I893" s="10"/>
      <c r="J893" s="5">
        <v>25</v>
      </c>
      <c r="L893" s="5">
        <f>100000-78000-5000</f>
        <v>17000</v>
      </c>
      <c r="M893" s="2" t="s">
        <v>3902</v>
      </c>
      <c r="N893" s="2" t="s">
        <v>48</v>
      </c>
      <c r="O893" s="2" t="s">
        <v>4094</v>
      </c>
      <c r="P893" s="2" t="s">
        <v>4095</v>
      </c>
      <c r="Q893" s="180" t="s">
        <v>4096</v>
      </c>
      <c r="R893" s="2">
        <v>55901</v>
      </c>
      <c r="S893" s="2">
        <v>44.059460000000001</v>
      </c>
      <c r="T893" s="2">
        <v>-92.507277999999999</v>
      </c>
      <c r="W893" s="10"/>
      <c r="AC893" s="2" t="s">
        <v>120</v>
      </c>
      <c r="AD893" s="2">
        <f t="shared" si="14"/>
        <v>2023</v>
      </c>
    </row>
    <row r="894" spans="1:30" hidden="1">
      <c r="A894" s="2" t="s">
        <v>4067</v>
      </c>
      <c r="B894" s="68">
        <v>45034</v>
      </c>
      <c r="C894" s="69" t="s">
        <v>4097</v>
      </c>
      <c r="D894" s="70" t="s">
        <v>2113</v>
      </c>
      <c r="E894" s="2" t="s">
        <v>99</v>
      </c>
      <c r="F894" s="1" t="s">
        <v>34</v>
      </c>
      <c r="G894" s="49" t="s">
        <v>4098</v>
      </c>
      <c r="H894" s="2" t="s">
        <v>2945</v>
      </c>
      <c r="I894" s="36">
        <v>60000000</v>
      </c>
      <c r="J894" s="35">
        <v>113</v>
      </c>
      <c r="L894" s="5">
        <v>70000</v>
      </c>
      <c r="M894" s="2" t="s">
        <v>132</v>
      </c>
      <c r="N894" s="2" t="s">
        <v>48</v>
      </c>
      <c r="O894" s="7" t="s">
        <v>4099</v>
      </c>
      <c r="Q894" s="157" t="s">
        <v>4100</v>
      </c>
      <c r="R894" s="2">
        <v>55108</v>
      </c>
      <c r="S894" s="2">
        <v>44.974930000000001</v>
      </c>
      <c r="T894" s="2">
        <v>-93.199999000000005</v>
      </c>
      <c r="U894" s="2" t="s">
        <v>378</v>
      </c>
      <c r="V894" s="2" t="s">
        <v>4101</v>
      </c>
      <c r="W894" s="36">
        <f>800000+500000</f>
        <v>1300000</v>
      </c>
      <c r="AC894" s="2" t="s">
        <v>51</v>
      </c>
      <c r="AD894" s="2">
        <f t="shared" si="14"/>
        <v>2023</v>
      </c>
    </row>
    <row r="895" spans="1:30" hidden="1">
      <c r="A895" s="2" t="s">
        <v>4067</v>
      </c>
      <c r="B895" s="68">
        <v>45035</v>
      </c>
      <c r="C895" s="69" t="s">
        <v>4102</v>
      </c>
      <c r="D895" s="70" t="s">
        <v>1007</v>
      </c>
      <c r="E895" s="2" t="s">
        <v>677</v>
      </c>
      <c r="F895" s="1" t="s">
        <v>34</v>
      </c>
      <c r="G895" s="49" t="s">
        <v>4103</v>
      </c>
      <c r="H895" s="2" t="s">
        <v>3231</v>
      </c>
      <c r="I895" s="36"/>
      <c r="J895" s="70"/>
      <c r="L895" s="5">
        <v>31120</v>
      </c>
      <c r="M895" s="2" t="s">
        <v>3902</v>
      </c>
      <c r="N895" s="2" t="s">
        <v>48</v>
      </c>
      <c r="O895" s="2" t="s">
        <v>4104</v>
      </c>
      <c r="Q895" s="183" t="s">
        <v>4105</v>
      </c>
      <c r="R895" s="2">
        <v>55449</v>
      </c>
      <c r="S895" s="2">
        <v>45.124870999999999</v>
      </c>
      <c r="T895" s="2">
        <v>-93.189707999999996</v>
      </c>
      <c r="W895" s="36"/>
      <c r="Z895" s="2" t="s">
        <v>4106</v>
      </c>
      <c r="AA895" s="2" t="s">
        <v>3711</v>
      </c>
      <c r="AC895" s="2" t="s">
        <v>51</v>
      </c>
      <c r="AD895" s="2">
        <f t="shared" si="14"/>
        <v>2023</v>
      </c>
    </row>
    <row r="896" spans="1:30" hidden="1">
      <c r="A896" s="2" t="s">
        <v>4067</v>
      </c>
      <c r="B896" s="68">
        <v>45035</v>
      </c>
      <c r="C896" s="69" t="s">
        <v>4107</v>
      </c>
      <c r="D896" s="70" t="s">
        <v>1007</v>
      </c>
      <c r="E896" s="2" t="s">
        <v>677</v>
      </c>
      <c r="F896" s="1" t="s">
        <v>34</v>
      </c>
      <c r="G896" s="49" t="s">
        <v>4108</v>
      </c>
      <c r="H896" s="2" t="s">
        <v>131</v>
      </c>
      <c r="I896" s="36"/>
      <c r="J896" s="35">
        <v>150</v>
      </c>
      <c r="L896" s="5">
        <v>100000</v>
      </c>
      <c r="M896" s="2" t="s">
        <v>3902</v>
      </c>
      <c r="N896" s="2" t="s">
        <v>48</v>
      </c>
      <c r="O896" s="2" t="s">
        <v>4104</v>
      </c>
      <c r="P896" s="2" t="s">
        <v>647</v>
      </c>
      <c r="Q896" s="157" t="s">
        <v>4109</v>
      </c>
      <c r="R896" s="2">
        <v>55449</v>
      </c>
      <c r="S896" s="2">
        <v>45.124870999999999</v>
      </c>
      <c r="T896" s="2">
        <v>-93.189707999999996</v>
      </c>
      <c r="W896" s="36"/>
      <c r="AC896" s="2" t="s">
        <v>51</v>
      </c>
      <c r="AD896" s="2">
        <f t="shared" si="14"/>
        <v>2023</v>
      </c>
    </row>
    <row r="897" spans="1:30" hidden="1">
      <c r="A897" s="2" t="s">
        <v>4067</v>
      </c>
      <c r="B897" s="68">
        <v>45037</v>
      </c>
      <c r="C897" s="69" t="s">
        <v>4110</v>
      </c>
      <c r="D897" s="70" t="s">
        <v>2113</v>
      </c>
      <c r="E897" s="2" t="s">
        <v>99</v>
      </c>
      <c r="F897" s="1" t="s">
        <v>34</v>
      </c>
      <c r="G897" s="49" t="s">
        <v>4111</v>
      </c>
      <c r="H897" s="2" t="s">
        <v>2079</v>
      </c>
      <c r="I897" s="36"/>
      <c r="J897" s="35"/>
      <c r="N897" s="2" t="s">
        <v>1462</v>
      </c>
      <c r="O897" s="7" t="s">
        <v>4112</v>
      </c>
      <c r="P897" s="2" t="s">
        <v>3801</v>
      </c>
      <c r="Q897" s="157" t="s">
        <v>4113</v>
      </c>
      <c r="R897" s="2">
        <v>55109</v>
      </c>
      <c r="S897" s="2">
        <v>44.990777000000001</v>
      </c>
      <c r="T897" s="2">
        <v>-93.008421999999996</v>
      </c>
      <c r="W897" s="36"/>
      <c r="AC897" s="2" t="s">
        <v>51</v>
      </c>
      <c r="AD897" s="2">
        <f t="shared" si="14"/>
        <v>2023</v>
      </c>
    </row>
    <row r="898" spans="1:30" hidden="1">
      <c r="A898" s="2" t="s">
        <v>4067</v>
      </c>
      <c r="B898" s="42">
        <v>45042</v>
      </c>
      <c r="C898" s="71" t="s">
        <v>4114</v>
      </c>
      <c r="D898" s="2" t="s">
        <v>676</v>
      </c>
      <c r="E898" s="2" t="s">
        <v>677</v>
      </c>
      <c r="F898" s="1" t="s">
        <v>34</v>
      </c>
      <c r="G898" s="49" t="s">
        <v>4115</v>
      </c>
      <c r="H898" s="2" t="s">
        <v>2214</v>
      </c>
      <c r="I898" s="10"/>
      <c r="J898" s="29"/>
      <c r="L898" s="5">
        <v>14000</v>
      </c>
      <c r="N898" s="251" t="s">
        <v>103</v>
      </c>
      <c r="O898" s="2" t="s">
        <v>4116</v>
      </c>
      <c r="Q898" s="178" t="s">
        <v>4117</v>
      </c>
      <c r="R898" s="2">
        <v>55421</v>
      </c>
      <c r="S898" s="2">
        <v>45.062750000000001</v>
      </c>
      <c r="T898" s="2">
        <v>-93.275000000000006</v>
      </c>
      <c r="W898" s="10"/>
      <c r="AC898" s="2" t="s">
        <v>51</v>
      </c>
      <c r="AD898" s="2">
        <f t="shared" si="14"/>
        <v>2023</v>
      </c>
    </row>
    <row r="899" spans="1:30" hidden="1">
      <c r="A899" s="2" t="s">
        <v>4067</v>
      </c>
      <c r="B899" s="42">
        <v>45042</v>
      </c>
      <c r="C899" s="2" t="s">
        <v>2208</v>
      </c>
      <c r="D899" s="1" t="s">
        <v>528</v>
      </c>
      <c r="E899" s="2" t="s">
        <v>66</v>
      </c>
      <c r="F899" s="1" t="s">
        <v>34</v>
      </c>
      <c r="G899" s="49" t="s">
        <v>4118</v>
      </c>
      <c r="H899" s="2" t="s">
        <v>131</v>
      </c>
      <c r="I899" s="10">
        <v>525000000</v>
      </c>
      <c r="J899" s="29">
        <v>160</v>
      </c>
      <c r="M899" s="2" t="s">
        <v>3742</v>
      </c>
      <c r="N899" s="2" t="s">
        <v>48</v>
      </c>
      <c r="O899" s="2" t="s">
        <v>4119</v>
      </c>
      <c r="P899" s="2" t="s">
        <v>658</v>
      </c>
      <c r="Q899" s="157" t="s">
        <v>4120</v>
      </c>
      <c r="R899" s="2">
        <v>55425</v>
      </c>
      <c r="S899" s="2">
        <v>44.853470999999999</v>
      </c>
      <c r="T899" s="2">
        <v>-93.230999999999995</v>
      </c>
      <c r="U899" s="2" t="s">
        <v>378</v>
      </c>
      <c r="V899" s="2" t="s">
        <v>4121</v>
      </c>
      <c r="W899" s="10">
        <f>365000+199800000</f>
        <v>200165000</v>
      </c>
      <c r="Y899" s="2" t="s">
        <v>4122</v>
      </c>
      <c r="Z899" s="2" t="s">
        <v>4123</v>
      </c>
      <c r="AB899" s="2" t="s">
        <v>757</v>
      </c>
      <c r="AC899" s="2" t="s">
        <v>51</v>
      </c>
      <c r="AD899" s="2">
        <f t="shared" si="14"/>
        <v>2023</v>
      </c>
    </row>
    <row r="900" spans="1:30" hidden="1">
      <c r="A900" s="2" t="s">
        <v>4067</v>
      </c>
      <c r="B900" s="42">
        <v>45044</v>
      </c>
      <c r="C900" s="2" t="s">
        <v>4124</v>
      </c>
      <c r="D900" s="2" t="s">
        <v>174</v>
      </c>
      <c r="E900" s="2" t="s">
        <v>66</v>
      </c>
      <c r="F900" s="1" t="s">
        <v>34</v>
      </c>
      <c r="G900" s="49" t="s">
        <v>4125</v>
      </c>
      <c r="H900" s="2" t="s">
        <v>1024</v>
      </c>
      <c r="I900" s="10"/>
      <c r="J900" s="29"/>
      <c r="L900" s="5">
        <v>115000</v>
      </c>
      <c r="M900" s="2" t="s">
        <v>3974</v>
      </c>
      <c r="N900" s="2" t="s">
        <v>48</v>
      </c>
      <c r="O900" s="2" t="s">
        <v>4126</v>
      </c>
      <c r="Q900" s="189" t="s">
        <v>4127</v>
      </c>
      <c r="R900" s="2">
        <v>55445</v>
      </c>
      <c r="S900" s="2">
        <v>45.127339999999997</v>
      </c>
      <c r="T900" s="2">
        <v>-93.395070000000004</v>
      </c>
      <c r="W900" s="10"/>
      <c r="AC900" s="2" t="s">
        <v>51</v>
      </c>
      <c r="AD900" s="2">
        <f t="shared" si="14"/>
        <v>2023</v>
      </c>
    </row>
    <row r="901" spans="1:30" hidden="1">
      <c r="A901" s="2" t="s">
        <v>4067</v>
      </c>
      <c r="B901" s="42">
        <v>45048</v>
      </c>
      <c r="C901" s="2" t="s">
        <v>3255</v>
      </c>
      <c r="D901" s="2" t="s">
        <v>3243</v>
      </c>
      <c r="E901" s="2" t="s">
        <v>74</v>
      </c>
      <c r="F901" s="1" t="s">
        <v>34</v>
      </c>
      <c r="G901" s="49" t="s">
        <v>4128</v>
      </c>
      <c r="H901" s="2" t="s">
        <v>131</v>
      </c>
      <c r="I901" s="10">
        <v>76819638</v>
      </c>
      <c r="J901" s="29">
        <v>70</v>
      </c>
      <c r="L901" s="5">
        <v>90000</v>
      </c>
      <c r="M901" s="2" t="s">
        <v>2165</v>
      </c>
      <c r="N901" s="2" t="s">
        <v>48</v>
      </c>
      <c r="O901" s="2" t="s">
        <v>4129</v>
      </c>
      <c r="P901" s="2" t="s">
        <v>3801</v>
      </c>
      <c r="Q901" s="157" t="s">
        <v>3258</v>
      </c>
      <c r="R901" s="2">
        <v>55068</v>
      </c>
      <c r="S901" s="2">
        <v>44.757401000000002</v>
      </c>
      <c r="T901" s="2">
        <v>-93.011330999999998</v>
      </c>
      <c r="U901" s="2" t="s">
        <v>378</v>
      </c>
      <c r="V901" s="2" t="s">
        <v>4130</v>
      </c>
      <c r="W901" s="10">
        <f>750000+400000</f>
        <v>1150000</v>
      </c>
      <c r="X901" s="2" t="s">
        <v>2319</v>
      </c>
      <c r="Y901" s="2" t="s">
        <v>4131</v>
      </c>
      <c r="AB901" s="2" t="s">
        <v>4132</v>
      </c>
      <c r="AC901" s="2" t="s">
        <v>51</v>
      </c>
      <c r="AD901" s="2">
        <f t="shared" si="14"/>
        <v>2023</v>
      </c>
    </row>
    <row r="902" spans="1:30" hidden="1">
      <c r="A902" s="2" t="s">
        <v>4067</v>
      </c>
      <c r="B902" s="42">
        <v>45055</v>
      </c>
      <c r="C902" s="2" t="s">
        <v>4133</v>
      </c>
      <c r="D902" s="2" t="s">
        <v>3136</v>
      </c>
      <c r="E902" s="2" t="s">
        <v>1671</v>
      </c>
      <c r="F902" s="1" t="s">
        <v>34</v>
      </c>
      <c r="G902" s="49" t="s">
        <v>4134</v>
      </c>
      <c r="H902" s="2" t="s">
        <v>131</v>
      </c>
      <c r="I902" s="10">
        <v>9768334</v>
      </c>
      <c r="J902" s="29">
        <v>21</v>
      </c>
      <c r="M902" s="2" t="s">
        <v>684</v>
      </c>
      <c r="N902" s="2" t="s">
        <v>48</v>
      </c>
      <c r="O902" s="2" t="s">
        <v>4135</v>
      </c>
      <c r="P902" s="2" t="s">
        <v>4136</v>
      </c>
      <c r="Q902" s="188" t="s">
        <v>4137</v>
      </c>
      <c r="R902" s="2">
        <v>56716</v>
      </c>
      <c r="S902" s="2">
        <v>47.753368000000002</v>
      </c>
      <c r="T902" s="2">
        <v>-96.624219999999994</v>
      </c>
      <c r="U902" s="2" t="s">
        <v>378</v>
      </c>
      <c r="V902" s="2" t="s">
        <v>1576</v>
      </c>
      <c r="W902" s="10">
        <v>430000</v>
      </c>
      <c r="AC902" s="2" t="s">
        <v>97</v>
      </c>
      <c r="AD902" s="2">
        <f t="shared" si="14"/>
        <v>2023</v>
      </c>
    </row>
    <row r="903" spans="1:30" hidden="1">
      <c r="A903" s="2" t="s">
        <v>4067</v>
      </c>
      <c r="B903" s="184">
        <v>45056</v>
      </c>
      <c r="C903" s="2" t="s">
        <v>4138</v>
      </c>
      <c r="D903" s="2" t="s">
        <v>528</v>
      </c>
      <c r="E903" s="2" t="s">
        <v>66</v>
      </c>
      <c r="F903" s="1" t="s">
        <v>34</v>
      </c>
      <c r="G903" s="49" t="s">
        <v>4139</v>
      </c>
      <c r="H903" s="2" t="s">
        <v>131</v>
      </c>
      <c r="I903" s="10">
        <v>2165000</v>
      </c>
      <c r="J903" s="29"/>
      <c r="M903" s="2" t="s">
        <v>167</v>
      </c>
      <c r="N903" s="2" t="s">
        <v>48</v>
      </c>
      <c r="O903" s="2" t="s">
        <v>4140</v>
      </c>
      <c r="P903" s="2" t="s">
        <v>4141</v>
      </c>
      <c r="Q903" s="2" t="s">
        <v>4142</v>
      </c>
      <c r="R903" s="2">
        <v>55438</v>
      </c>
      <c r="S903" s="2">
        <v>44.812133000000003</v>
      </c>
      <c r="T903" s="2">
        <v>-93.367316000000002</v>
      </c>
      <c r="W903" s="10"/>
      <c r="AC903" s="2" t="s">
        <v>51</v>
      </c>
      <c r="AD903" s="2">
        <f t="shared" si="14"/>
        <v>2023</v>
      </c>
    </row>
    <row r="904" spans="1:30" hidden="1">
      <c r="A904" s="2" t="s">
        <v>4067</v>
      </c>
      <c r="B904" s="42">
        <v>45058</v>
      </c>
      <c r="C904" s="1" t="s">
        <v>4143</v>
      </c>
      <c r="D904" s="1" t="s">
        <v>467</v>
      </c>
      <c r="E904" s="2" t="s">
        <v>468</v>
      </c>
      <c r="F904" s="1" t="s">
        <v>34</v>
      </c>
      <c r="G904" s="49" t="s">
        <v>4144</v>
      </c>
      <c r="H904" s="2" t="s">
        <v>131</v>
      </c>
      <c r="I904" s="10">
        <v>7200000</v>
      </c>
      <c r="J904" s="29">
        <v>100</v>
      </c>
      <c r="L904" s="5">
        <v>60000</v>
      </c>
      <c r="N904" s="2" t="s">
        <v>762</v>
      </c>
      <c r="O904" s="2" t="s">
        <v>4145</v>
      </c>
      <c r="P904" s="2" t="s">
        <v>4146</v>
      </c>
      <c r="Q904" s="180" t="s">
        <v>114</v>
      </c>
      <c r="R904" s="2">
        <v>55021</v>
      </c>
      <c r="S904" s="2">
        <v>44.362870000000001</v>
      </c>
      <c r="T904" s="2">
        <v>-93.267455999999996</v>
      </c>
      <c r="U904" s="2" t="s">
        <v>378</v>
      </c>
      <c r="V904" s="2" t="s">
        <v>1306</v>
      </c>
      <c r="W904" s="10">
        <v>175000</v>
      </c>
      <c r="AC904" s="2" t="s">
        <v>120</v>
      </c>
      <c r="AD904" s="2">
        <f t="shared" si="14"/>
        <v>2023</v>
      </c>
    </row>
    <row r="905" spans="1:30" hidden="1">
      <c r="A905" s="2" t="s">
        <v>4067</v>
      </c>
      <c r="B905" s="42">
        <v>45063</v>
      </c>
      <c r="C905" s="1" t="s">
        <v>4147</v>
      </c>
      <c r="D905" s="1" t="s">
        <v>2448</v>
      </c>
      <c r="E905" s="2" t="s">
        <v>3825</v>
      </c>
      <c r="F905" s="1" t="s">
        <v>34</v>
      </c>
      <c r="G905" s="49" t="s">
        <v>4148</v>
      </c>
      <c r="H905" s="2" t="s">
        <v>131</v>
      </c>
      <c r="I905" s="10">
        <v>26446896</v>
      </c>
      <c r="J905" s="5">
        <v>45</v>
      </c>
      <c r="K905" s="2">
        <v>120</v>
      </c>
      <c r="L905" s="5">
        <v>140000</v>
      </c>
      <c r="M905" s="2" t="s">
        <v>3902</v>
      </c>
      <c r="N905" s="2" t="s">
        <v>48</v>
      </c>
      <c r="O905" s="7" t="s">
        <v>4149</v>
      </c>
      <c r="P905" s="2" t="s">
        <v>658</v>
      </c>
      <c r="Q905" s="2" t="s">
        <v>4150</v>
      </c>
      <c r="R905" s="2">
        <v>55371</v>
      </c>
      <c r="S905" s="2">
        <v>45.582250000000002</v>
      </c>
      <c r="T905" s="2">
        <v>-93.595939999999999</v>
      </c>
      <c r="U905" s="2" t="s">
        <v>378</v>
      </c>
      <c r="V905" s="2" t="s">
        <v>4151</v>
      </c>
      <c r="W905" s="10">
        <f>1800000+750000</f>
        <v>2550000</v>
      </c>
      <c r="AC905" s="2" t="s">
        <v>41</v>
      </c>
      <c r="AD905" s="2">
        <f t="shared" si="14"/>
        <v>2023</v>
      </c>
    </row>
    <row r="906" spans="1:30" hidden="1">
      <c r="A906" s="2" t="s">
        <v>4067</v>
      </c>
      <c r="B906" s="42">
        <v>45063</v>
      </c>
      <c r="C906" s="2" t="s">
        <v>4152</v>
      </c>
      <c r="D906" s="2" t="s">
        <v>800</v>
      </c>
      <c r="E906" s="2" t="s">
        <v>44</v>
      </c>
      <c r="F906" s="1" t="s">
        <v>34</v>
      </c>
      <c r="G906" s="49" t="s">
        <v>4153</v>
      </c>
      <c r="H906" s="2" t="s">
        <v>4154</v>
      </c>
      <c r="I906" s="10"/>
      <c r="J906" s="29"/>
      <c r="L906" s="5">
        <v>140000</v>
      </c>
      <c r="M906" s="2" t="s">
        <v>167</v>
      </c>
      <c r="N906" s="2" t="s">
        <v>48</v>
      </c>
      <c r="O906" s="2" t="s">
        <v>4155</v>
      </c>
      <c r="P906" s="2" t="s">
        <v>3801</v>
      </c>
      <c r="Q906" s="180" t="s">
        <v>4156</v>
      </c>
      <c r="R906" s="2">
        <v>55125</v>
      </c>
      <c r="S906" s="2">
        <v>44.942137000000002</v>
      </c>
      <c r="T906" s="2">
        <v>-92.911486999999994</v>
      </c>
      <c r="W906" s="10"/>
      <c r="AC906" s="2" t="s">
        <v>51</v>
      </c>
      <c r="AD906" s="2">
        <f t="shared" si="14"/>
        <v>2023</v>
      </c>
    </row>
    <row r="907" spans="1:30" hidden="1">
      <c r="A907" s="2" t="s">
        <v>4067</v>
      </c>
      <c r="B907" s="42">
        <v>45082</v>
      </c>
      <c r="C907" s="2" t="s">
        <v>4157</v>
      </c>
      <c r="D907" s="2" t="s">
        <v>65</v>
      </c>
      <c r="E907" s="2" t="s">
        <v>66</v>
      </c>
      <c r="F907" s="1" t="s">
        <v>34</v>
      </c>
      <c r="G907" s="49" t="s">
        <v>4158</v>
      </c>
      <c r="H907" s="2" t="s">
        <v>2708</v>
      </c>
      <c r="I907" s="10">
        <v>70000000</v>
      </c>
      <c r="J907" s="29"/>
      <c r="L907" s="5">
        <v>33000</v>
      </c>
      <c r="N907" s="2" t="s">
        <v>4159</v>
      </c>
      <c r="O907" s="2" t="s">
        <v>4160</v>
      </c>
      <c r="P907" s="2" t="s">
        <v>647</v>
      </c>
      <c r="Q907" s="157" t="s">
        <v>4161</v>
      </c>
      <c r="R907" s="2">
        <v>55455</v>
      </c>
      <c r="S907" s="2">
        <v>44.979078999999999</v>
      </c>
      <c r="T907" s="2">
        <v>-93.225200000000001</v>
      </c>
      <c r="W907" s="10"/>
      <c r="AC907" s="2" t="s">
        <v>51</v>
      </c>
      <c r="AD907" s="2">
        <f t="shared" si="14"/>
        <v>2023</v>
      </c>
    </row>
    <row r="908" spans="1:30" hidden="1">
      <c r="A908" s="2" t="s">
        <v>4067</v>
      </c>
      <c r="B908" s="210">
        <v>45090</v>
      </c>
      <c r="C908" s="66" t="s">
        <v>4162</v>
      </c>
      <c r="D908" s="66" t="s">
        <v>4163</v>
      </c>
      <c r="E908" s="2" t="s">
        <v>335</v>
      </c>
      <c r="F908" s="1" t="s">
        <v>34</v>
      </c>
      <c r="G908" s="49" t="s">
        <v>4164</v>
      </c>
      <c r="H908" s="2" t="s">
        <v>131</v>
      </c>
      <c r="I908" s="9">
        <v>258000000</v>
      </c>
      <c r="J908" s="72">
        <v>59</v>
      </c>
      <c r="L908" s="5">
        <v>425000</v>
      </c>
      <c r="M908" s="1" t="s">
        <v>47</v>
      </c>
      <c r="N908" s="2" t="s">
        <v>48</v>
      </c>
      <c r="O908" s="2" t="s">
        <v>4165</v>
      </c>
      <c r="P908" s="2" t="s">
        <v>4166</v>
      </c>
      <c r="Q908" s="180" t="s">
        <v>114</v>
      </c>
      <c r="R908" s="2">
        <v>55054</v>
      </c>
      <c r="S908" s="2">
        <v>44.571055999999999</v>
      </c>
      <c r="T908" s="2">
        <v>-93.354266999999993</v>
      </c>
      <c r="U908" s="2" t="s">
        <v>378</v>
      </c>
      <c r="V908" s="2" t="s">
        <v>4167</v>
      </c>
      <c r="W908" s="10">
        <f>800000+405000+3000000</f>
        <v>4205000</v>
      </c>
      <c r="Z908" s="2" t="s">
        <v>4168</v>
      </c>
      <c r="AA908" s="2" t="s">
        <v>961</v>
      </c>
      <c r="AC908" s="2" t="s">
        <v>51</v>
      </c>
      <c r="AD908" s="2">
        <f t="shared" si="14"/>
        <v>2023</v>
      </c>
    </row>
    <row r="909" spans="1:30" hidden="1">
      <c r="A909" s="2" t="s">
        <v>4067</v>
      </c>
      <c r="B909" s="42">
        <v>45091</v>
      </c>
      <c r="C909" s="216" t="s">
        <v>2415</v>
      </c>
      <c r="D909" s="2" t="s">
        <v>340</v>
      </c>
      <c r="E909" s="2" t="s">
        <v>66</v>
      </c>
      <c r="F909" s="1" t="s">
        <v>34</v>
      </c>
      <c r="G909" s="49" t="s">
        <v>4169</v>
      </c>
      <c r="H909" s="2" t="s">
        <v>131</v>
      </c>
      <c r="I909" s="10"/>
      <c r="J909" s="29"/>
      <c r="M909" s="1" t="s">
        <v>47</v>
      </c>
      <c r="N909" s="2" t="s">
        <v>48</v>
      </c>
      <c r="O909" s="2" t="s">
        <v>4170</v>
      </c>
      <c r="P909" s="2" t="s">
        <v>4171</v>
      </c>
      <c r="Q909" s="157" t="s">
        <v>2414</v>
      </c>
      <c r="R909" s="2">
        <v>55441</v>
      </c>
      <c r="S909" s="2">
        <v>44.990468</v>
      </c>
      <c r="T909" s="2">
        <v>-93.447700999999995</v>
      </c>
      <c r="W909" s="10"/>
      <c r="X909" s="2" t="s">
        <v>2319</v>
      </c>
      <c r="Y909" s="2" t="s">
        <v>2415</v>
      </c>
      <c r="Z909" s="2" t="s">
        <v>4172</v>
      </c>
      <c r="AB909" s="2" t="s">
        <v>1323</v>
      </c>
      <c r="AC909" s="2" t="s">
        <v>51</v>
      </c>
      <c r="AD909" s="2">
        <f t="shared" si="14"/>
        <v>2023</v>
      </c>
    </row>
    <row r="910" spans="1:30" ht="15.75" hidden="1">
      <c r="A910" s="2" t="s">
        <v>4067</v>
      </c>
      <c r="B910" s="42">
        <v>45092</v>
      </c>
      <c r="C910" s="2" t="s">
        <v>4173</v>
      </c>
      <c r="D910" s="2" t="s">
        <v>1589</v>
      </c>
      <c r="E910" s="2" t="s">
        <v>1590</v>
      </c>
      <c r="F910" s="1" t="s">
        <v>34</v>
      </c>
      <c r="G910" s="49" t="s">
        <v>4174</v>
      </c>
      <c r="I910" s="10">
        <v>38500000</v>
      </c>
      <c r="J910" s="29"/>
      <c r="K910" s="2">
        <v>315</v>
      </c>
      <c r="M910" s="2" t="s">
        <v>4175</v>
      </c>
      <c r="N910" s="2" t="s">
        <v>48</v>
      </c>
      <c r="O910" s="191" t="s">
        <v>4176</v>
      </c>
      <c r="P910" s="2" t="s">
        <v>4177</v>
      </c>
      <c r="Q910" s="192" t="s">
        <v>4178</v>
      </c>
      <c r="R910" s="2">
        <v>55720</v>
      </c>
      <c r="S910" s="2">
        <v>46.723883000000001</v>
      </c>
      <c r="T910" s="2">
        <v>-92.470122000000003</v>
      </c>
      <c r="U910" s="2" t="s">
        <v>378</v>
      </c>
      <c r="V910" s="2" t="s">
        <v>1576</v>
      </c>
      <c r="W910" s="10">
        <v>300000</v>
      </c>
      <c r="Z910" s="2" t="s">
        <v>260</v>
      </c>
      <c r="AA910" s="2" t="s">
        <v>261</v>
      </c>
      <c r="AC910" s="2" t="s">
        <v>97</v>
      </c>
      <c r="AD910" s="2">
        <f t="shared" si="14"/>
        <v>2023</v>
      </c>
    </row>
    <row r="911" spans="1:30" hidden="1">
      <c r="A911" s="2" t="s">
        <v>4067</v>
      </c>
      <c r="B911" s="42">
        <v>45093</v>
      </c>
      <c r="C911" s="1" t="s">
        <v>4179</v>
      </c>
      <c r="D911" s="1" t="s">
        <v>1741</v>
      </c>
      <c r="E911" s="2" t="s">
        <v>1253</v>
      </c>
      <c r="F911" s="1" t="s">
        <v>34</v>
      </c>
      <c r="G911" s="49" t="s">
        <v>4180</v>
      </c>
      <c r="H911" s="2" t="s">
        <v>2079</v>
      </c>
      <c r="I911" s="10">
        <v>1964400</v>
      </c>
      <c r="J911" s="5">
        <v>20</v>
      </c>
      <c r="M911" s="2" t="s">
        <v>3902</v>
      </c>
      <c r="N911" s="2" t="s">
        <v>48</v>
      </c>
      <c r="O911" s="2" t="s">
        <v>4181</v>
      </c>
      <c r="P911" s="2" t="s">
        <v>4182</v>
      </c>
      <c r="Q911" s="180" t="s">
        <v>4183</v>
      </c>
      <c r="R911" s="2">
        <v>55060</v>
      </c>
      <c r="S911" s="2">
        <v>44.091684000000001</v>
      </c>
      <c r="T911" s="2">
        <v>-93.274343999999999</v>
      </c>
      <c r="U911" s="2" t="s">
        <v>378</v>
      </c>
      <c r="V911" s="2" t="s">
        <v>1306</v>
      </c>
      <c r="W911" s="10">
        <v>175000</v>
      </c>
      <c r="Z911" s="2" t="s">
        <v>756</v>
      </c>
      <c r="AB911" s="2" t="s">
        <v>757</v>
      </c>
      <c r="AC911" s="2" t="s">
        <v>120</v>
      </c>
      <c r="AD911" s="2">
        <f t="shared" si="14"/>
        <v>2023</v>
      </c>
    </row>
    <row r="912" spans="1:30" hidden="1">
      <c r="A912" s="2" t="s">
        <v>4067</v>
      </c>
      <c r="B912" s="42">
        <v>45097</v>
      </c>
      <c r="C912" s="216" t="s">
        <v>4184</v>
      </c>
      <c r="D912" s="2" t="s">
        <v>528</v>
      </c>
      <c r="E912" s="2" t="s">
        <v>66</v>
      </c>
      <c r="F912" s="1" t="s">
        <v>34</v>
      </c>
      <c r="G912" s="49" t="s">
        <v>4185</v>
      </c>
      <c r="H912" s="2" t="s">
        <v>2945</v>
      </c>
      <c r="I912" s="10">
        <v>868766</v>
      </c>
      <c r="J912" s="29"/>
      <c r="M912" s="2" t="s">
        <v>2732</v>
      </c>
      <c r="N912" s="2" t="s">
        <v>48</v>
      </c>
      <c r="O912" s="7" t="s">
        <v>2084</v>
      </c>
      <c r="P912" s="2" t="s">
        <v>2375</v>
      </c>
      <c r="Q912" s="2" t="s">
        <v>4186</v>
      </c>
      <c r="R912" s="2">
        <v>55431</v>
      </c>
      <c r="S912" s="2">
        <v>44.830869999999997</v>
      </c>
      <c r="T912" s="2">
        <v>-93.299882999999994</v>
      </c>
      <c r="W912" s="10"/>
      <c r="Z912" s="2" t="s">
        <v>4187</v>
      </c>
      <c r="AA912" s="2" t="s">
        <v>1144</v>
      </c>
      <c r="AC912" s="2" t="s">
        <v>51</v>
      </c>
      <c r="AD912" s="2">
        <f t="shared" si="14"/>
        <v>2023</v>
      </c>
    </row>
    <row r="913" spans="1:31" hidden="1">
      <c r="A913" s="2" t="s">
        <v>4067</v>
      </c>
      <c r="B913" s="42">
        <v>45098</v>
      </c>
      <c r="C913" s="69" t="s">
        <v>2425</v>
      </c>
      <c r="D913" s="2" t="s">
        <v>528</v>
      </c>
      <c r="E913" s="2" t="s">
        <v>66</v>
      </c>
      <c r="F913" s="1" t="s">
        <v>34</v>
      </c>
      <c r="G913" s="49" t="s">
        <v>4188</v>
      </c>
      <c r="H913" s="2" t="s">
        <v>2079</v>
      </c>
      <c r="I913" s="10">
        <v>410429</v>
      </c>
      <c r="J913" s="29"/>
      <c r="M913" s="2" t="s">
        <v>531</v>
      </c>
      <c r="N913" s="2" t="s">
        <v>300</v>
      </c>
      <c r="O913" s="7" t="s">
        <v>2084</v>
      </c>
      <c r="P913" s="2" t="s">
        <v>2375</v>
      </c>
      <c r="Q913" s="2" t="s">
        <v>2243</v>
      </c>
      <c r="R913" s="2">
        <v>55437</v>
      </c>
      <c r="S913" s="2">
        <v>44.854151999999999</v>
      </c>
      <c r="T913" s="2">
        <v>-93.357275999999999</v>
      </c>
      <c r="W913" s="10"/>
      <c r="AC913" s="2" t="s">
        <v>51</v>
      </c>
      <c r="AD913" s="2">
        <f t="shared" si="14"/>
        <v>2023</v>
      </c>
    </row>
    <row r="914" spans="1:31" hidden="1">
      <c r="A914" s="2" t="s">
        <v>4067</v>
      </c>
      <c r="B914" s="42">
        <v>45098</v>
      </c>
      <c r="C914" s="66" t="s">
        <v>4189</v>
      </c>
      <c r="D914" s="66" t="s">
        <v>4190</v>
      </c>
      <c r="E914" s="2" t="s">
        <v>952</v>
      </c>
      <c r="F914" s="1" t="s">
        <v>34</v>
      </c>
      <c r="G914" s="49" t="s">
        <v>4191</v>
      </c>
      <c r="H914" s="2" t="s">
        <v>131</v>
      </c>
      <c r="I914" s="10">
        <v>3838500</v>
      </c>
      <c r="J914" s="29">
        <v>15</v>
      </c>
      <c r="L914" s="5">
        <v>20000</v>
      </c>
      <c r="M914" s="2" t="s">
        <v>417</v>
      </c>
      <c r="N914" s="2" t="s">
        <v>48</v>
      </c>
      <c r="O914" s="2" t="s">
        <v>4192</v>
      </c>
      <c r="P914" s="2" t="s">
        <v>4193</v>
      </c>
      <c r="Q914" s="157" t="s">
        <v>4194</v>
      </c>
      <c r="R914" s="2">
        <v>56368</v>
      </c>
      <c r="S914" s="2">
        <v>45.448895</v>
      </c>
      <c r="T914" s="2">
        <v>-94.515844000000001</v>
      </c>
      <c r="U914" s="2" t="s">
        <v>378</v>
      </c>
      <c r="V914" s="2" t="s">
        <v>1576</v>
      </c>
      <c r="W914" s="11">
        <v>400000</v>
      </c>
      <c r="AC914" s="2" t="s">
        <v>41</v>
      </c>
      <c r="AD914" s="2">
        <f t="shared" si="14"/>
        <v>2023</v>
      </c>
    </row>
    <row r="915" spans="1:31" hidden="1">
      <c r="A915" s="2" t="s">
        <v>4067</v>
      </c>
      <c r="B915" s="42">
        <v>45099</v>
      </c>
      <c r="C915" s="1" t="s">
        <v>4195</v>
      </c>
      <c r="D915" s="1" t="s">
        <v>546</v>
      </c>
      <c r="E915" s="2" t="s">
        <v>74</v>
      </c>
      <c r="F915" s="1" t="s">
        <v>34</v>
      </c>
      <c r="G915" s="49" t="s">
        <v>4196</v>
      </c>
      <c r="H915" s="2" t="s">
        <v>4197</v>
      </c>
      <c r="I915" s="10">
        <v>6553500</v>
      </c>
      <c r="J915" s="5">
        <v>20</v>
      </c>
      <c r="K915" s="2">
        <v>21</v>
      </c>
      <c r="L915" s="5">
        <v>366000</v>
      </c>
      <c r="M915" s="1" t="s">
        <v>47</v>
      </c>
      <c r="N915" s="2" t="s">
        <v>48</v>
      </c>
      <c r="O915" s="2" t="s">
        <v>4198</v>
      </c>
      <c r="P915" s="2" t="s">
        <v>4199</v>
      </c>
      <c r="Q915" s="157" t="s">
        <v>4200</v>
      </c>
      <c r="R915" s="2">
        <v>55044</v>
      </c>
      <c r="S915" s="2">
        <v>44.628933000000004</v>
      </c>
      <c r="T915" s="2">
        <v>-93.215734999999995</v>
      </c>
      <c r="U915" s="2" t="s">
        <v>378</v>
      </c>
      <c r="V915" s="2" t="s">
        <v>4201</v>
      </c>
      <c r="W915" s="10">
        <f>140000+155000</f>
        <v>295000</v>
      </c>
      <c r="AC915" s="2" t="s">
        <v>51</v>
      </c>
      <c r="AD915" s="2">
        <f t="shared" si="14"/>
        <v>2023</v>
      </c>
    </row>
    <row r="916" spans="1:31" hidden="1">
      <c r="A916" s="2" t="s">
        <v>4067</v>
      </c>
      <c r="B916" s="42">
        <v>45103</v>
      </c>
      <c r="C916" s="2" t="s">
        <v>4202</v>
      </c>
      <c r="D916" s="2" t="s">
        <v>4203</v>
      </c>
      <c r="E916" s="2" t="s">
        <v>2106</v>
      </c>
      <c r="F916" s="1" t="s">
        <v>34</v>
      </c>
      <c r="G916" s="49" t="s">
        <v>4204</v>
      </c>
      <c r="H916" s="2" t="s">
        <v>131</v>
      </c>
      <c r="I916" s="10">
        <v>125000000</v>
      </c>
      <c r="J916" s="29"/>
      <c r="M916" s="1" t="s">
        <v>47</v>
      </c>
      <c r="N916" s="2" t="s">
        <v>48</v>
      </c>
      <c r="O916" s="2" t="s">
        <v>4205</v>
      </c>
      <c r="P916" s="2" t="s">
        <v>285</v>
      </c>
      <c r="Q916" s="186" t="s">
        <v>4206</v>
      </c>
      <c r="R916" s="2">
        <v>56573</v>
      </c>
      <c r="S916" s="2">
        <v>46.593629999999997</v>
      </c>
      <c r="T916" s="2">
        <v>-95.568680999999998</v>
      </c>
      <c r="W916" s="11"/>
      <c r="AC916" s="2" t="s">
        <v>41</v>
      </c>
      <c r="AD916" s="2">
        <f t="shared" si="14"/>
        <v>2023</v>
      </c>
    </row>
    <row r="917" spans="1:31" hidden="1">
      <c r="A917" s="2" t="s">
        <v>4067</v>
      </c>
      <c r="B917" s="68">
        <v>45104</v>
      </c>
      <c r="C917" s="69" t="s">
        <v>4207</v>
      </c>
      <c r="D917" s="2" t="s">
        <v>3397</v>
      </c>
      <c r="E917" s="2" t="s">
        <v>3388</v>
      </c>
      <c r="F917" s="1" t="s">
        <v>34</v>
      </c>
      <c r="G917" s="49" t="s">
        <v>4208</v>
      </c>
      <c r="H917" s="2" t="s">
        <v>131</v>
      </c>
      <c r="I917" s="36"/>
      <c r="J917" s="29">
        <v>200</v>
      </c>
      <c r="L917" s="5">
        <v>32000</v>
      </c>
      <c r="M917" s="2" t="s">
        <v>3902</v>
      </c>
      <c r="N917" s="2" t="s">
        <v>48</v>
      </c>
      <c r="O917" s="2" t="s">
        <v>4209</v>
      </c>
      <c r="P917" s="2" t="s">
        <v>3703</v>
      </c>
      <c r="Q917" s="157" t="s">
        <v>4210</v>
      </c>
      <c r="R917" s="2">
        <v>55744</v>
      </c>
      <c r="S917" s="2">
        <v>47.220570000000002</v>
      </c>
      <c r="T917" s="2">
        <v>-93.507794000000004</v>
      </c>
      <c r="W917" s="36"/>
      <c r="X917" s="2" t="s">
        <v>2319</v>
      </c>
      <c r="Y917" s="2" t="s">
        <v>4211</v>
      </c>
      <c r="Z917" s="2" t="s">
        <v>756</v>
      </c>
      <c r="AB917" s="2" t="s">
        <v>757</v>
      </c>
      <c r="AC917" s="2" t="s">
        <v>97</v>
      </c>
      <c r="AD917" s="2">
        <f t="shared" si="14"/>
        <v>2023</v>
      </c>
    </row>
    <row r="918" spans="1:31" hidden="1">
      <c r="A918" s="2" t="s">
        <v>4067</v>
      </c>
      <c r="B918" s="68">
        <v>45107</v>
      </c>
      <c r="C918" s="74" t="s">
        <v>4212</v>
      </c>
      <c r="D918" s="66" t="s">
        <v>4213</v>
      </c>
      <c r="E918" s="2" t="s">
        <v>1671</v>
      </c>
      <c r="F918" s="1" t="s">
        <v>34</v>
      </c>
      <c r="G918" s="73" t="s">
        <v>4214</v>
      </c>
      <c r="H918" s="66" t="s">
        <v>131</v>
      </c>
      <c r="I918" s="36">
        <v>20000000</v>
      </c>
      <c r="J918" s="29">
        <v>20</v>
      </c>
      <c r="M918" s="1" t="s">
        <v>47</v>
      </c>
      <c r="N918" s="2" t="s">
        <v>48</v>
      </c>
      <c r="O918" s="2" t="s">
        <v>658</v>
      </c>
      <c r="P918" s="2" t="s">
        <v>658</v>
      </c>
      <c r="Q918" s="180"/>
      <c r="R918" s="2">
        <v>56542</v>
      </c>
      <c r="S918" s="2">
        <v>47.576348000000003</v>
      </c>
      <c r="T918" s="2">
        <v>-95.751414999999994</v>
      </c>
      <c r="W918" s="36"/>
      <c r="AC918" s="2" t="s">
        <v>97</v>
      </c>
      <c r="AD918" s="2">
        <f t="shared" si="14"/>
        <v>2023</v>
      </c>
    </row>
    <row r="919" spans="1:31" hidden="1">
      <c r="A919" s="2" t="s">
        <v>4215</v>
      </c>
      <c r="B919" s="68">
        <v>45121</v>
      </c>
      <c r="C919" s="74" t="s">
        <v>4216</v>
      </c>
      <c r="D919" s="218" t="s">
        <v>1007</v>
      </c>
      <c r="E919" s="2" t="s">
        <v>66</v>
      </c>
      <c r="F919" s="1" t="s">
        <v>34</v>
      </c>
      <c r="G919" s="49" t="s">
        <v>4217</v>
      </c>
      <c r="H919" s="2" t="s">
        <v>3231</v>
      </c>
      <c r="I919" s="36"/>
      <c r="J919" s="29"/>
      <c r="M919" s="2" t="s">
        <v>2799</v>
      </c>
      <c r="N919" s="2" t="s">
        <v>48</v>
      </c>
      <c r="O919" s="2" t="s">
        <v>4218</v>
      </c>
      <c r="P919" s="2" t="s">
        <v>2597</v>
      </c>
      <c r="Q919" s="180" t="s">
        <v>4219</v>
      </c>
      <c r="R919" s="2">
        <v>55434</v>
      </c>
      <c r="S919" s="2">
        <v>45.147359999999999</v>
      </c>
      <c r="T919" s="2">
        <v>-93.237859999999998</v>
      </c>
      <c r="W919" s="36"/>
      <c r="Z919" s="2" t="s">
        <v>991</v>
      </c>
      <c r="AA919" s="2" t="s">
        <v>992</v>
      </c>
      <c r="AC919" s="2" t="s">
        <v>51</v>
      </c>
      <c r="AD919" s="2">
        <f t="shared" si="14"/>
        <v>2023</v>
      </c>
    </row>
    <row r="920" spans="1:31" hidden="1">
      <c r="A920" s="2" t="s">
        <v>4215</v>
      </c>
      <c r="B920" s="68">
        <v>45127</v>
      </c>
      <c r="C920" s="2" t="s">
        <v>4220</v>
      </c>
      <c r="D920" s="2" t="s">
        <v>165</v>
      </c>
      <c r="E920" s="2" t="s">
        <v>677</v>
      </c>
      <c r="F920" s="1" t="s">
        <v>34</v>
      </c>
      <c r="G920" s="49" t="s">
        <v>4221</v>
      </c>
      <c r="H920" s="2" t="s">
        <v>4222</v>
      </c>
      <c r="I920" s="10"/>
      <c r="L920" s="5">
        <v>80000</v>
      </c>
      <c r="M920" s="2" t="s">
        <v>93</v>
      </c>
      <c r="N920" s="2" t="s">
        <v>48</v>
      </c>
      <c r="O920" s="2" t="s">
        <v>4223</v>
      </c>
      <c r="P920" s="2" t="s">
        <v>3801</v>
      </c>
      <c r="Q920" s="157" t="s">
        <v>4224</v>
      </c>
      <c r="R920" s="2">
        <v>55369</v>
      </c>
      <c r="S920" s="2">
        <v>45.093829999999997</v>
      </c>
      <c r="T920" s="2">
        <v>-93.419179999999997</v>
      </c>
      <c r="W920" s="10"/>
      <c r="AC920" s="2" t="s">
        <v>51</v>
      </c>
      <c r="AD920" s="2">
        <f t="shared" si="14"/>
        <v>2023</v>
      </c>
    </row>
    <row r="921" spans="1:31" hidden="1">
      <c r="A921" s="2" t="s">
        <v>4215</v>
      </c>
      <c r="B921" s="42">
        <v>45132</v>
      </c>
      <c r="C921" s="218" t="s">
        <v>1782</v>
      </c>
      <c r="D921" s="66" t="s">
        <v>165</v>
      </c>
      <c r="E921" s="2" t="s">
        <v>66</v>
      </c>
      <c r="F921" s="1" t="s">
        <v>34</v>
      </c>
      <c r="G921" s="237" t="s">
        <v>4225</v>
      </c>
      <c r="H921" s="66" t="s">
        <v>2945</v>
      </c>
      <c r="I921" s="236">
        <v>188800000</v>
      </c>
      <c r="J921" s="5">
        <v>177</v>
      </c>
      <c r="K921" s="2">
        <v>1100</v>
      </c>
      <c r="L921" s="5">
        <f>84000+84000</f>
        <v>168000</v>
      </c>
      <c r="M921" s="2" t="s">
        <v>167</v>
      </c>
      <c r="N921" s="2" t="s">
        <v>48</v>
      </c>
      <c r="O921" s="7" t="s">
        <v>4226</v>
      </c>
      <c r="P921" s="2" t="s">
        <v>647</v>
      </c>
      <c r="Q921" s="180" t="s">
        <v>4227</v>
      </c>
      <c r="R921" s="2">
        <v>55311</v>
      </c>
      <c r="S921" s="2">
        <v>45.098497999999999</v>
      </c>
      <c r="T921" s="2">
        <v>-93.441922000000005</v>
      </c>
      <c r="U921" s="2" t="s">
        <v>378</v>
      </c>
      <c r="V921" s="2" t="s">
        <v>4228</v>
      </c>
      <c r="W921" s="10">
        <f>1750000+4250000+4500000</f>
        <v>10500000</v>
      </c>
      <c r="Z921" s="2" t="s">
        <v>1787</v>
      </c>
      <c r="AA921" s="2" t="s">
        <v>1788</v>
      </c>
      <c r="AC921" s="2" t="s">
        <v>51</v>
      </c>
      <c r="AD921" s="2">
        <f t="shared" si="14"/>
        <v>2023</v>
      </c>
      <c r="AE921" s="2" t="s">
        <v>4229</v>
      </c>
    </row>
    <row r="922" spans="1:31" hidden="1">
      <c r="A922" s="2" t="s">
        <v>4215</v>
      </c>
      <c r="B922" s="42">
        <v>45139</v>
      </c>
      <c r="C922" s="218" t="s">
        <v>751</v>
      </c>
      <c r="D922" s="66" t="s">
        <v>174</v>
      </c>
      <c r="E922" s="2" t="s">
        <v>66</v>
      </c>
      <c r="F922" s="1" t="s">
        <v>34</v>
      </c>
      <c r="G922" s="49" t="s">
        <v>4230</v>
      </c>
      <c r="H922" s="66" t="s">
        <v>131</v>
      </c>
      <c r="I922" s="10">
        <v>45000000</v>
      </c>
      <c r="J922" s="29"/>
      <c r="M922" s="2" t="s">
        <v>2732</v>
      </c>
      <c r="N922" s="2" t="s">
        <v>48</v>
      </c>
      <c r="O922" s="7" t="s">
        <v>4231</v>
      </c>
      <c r="Q922" s="157" t="s">
        <v>754</v>
      </c>
      <c r="R922" s="2">
        <v>55445</v>
      </c>
      <c r="S922" s="2">
        <v>45.128205000000001</v>
      </c>
      <c r="T922" s="2">
        <v>-93.379225000000005</v>
      </c>
      <c r="W922" s="10"/>
      <c r="Y922" s="2" t="s">
        <v>4232</v>
      </c>
      <c r="Z922" s="2" t="s">
        <v>1309</v>
      </c>
      <c r="AB922" s="2" t="s">
        <v>757</v>
      </c>
      <c r="AC922" s="2" t="s">
        <v>51</v>
      </c>
      <c r="AD922" s="2">
        <f t="shared" si="14"/>
        <v>2023</v>
      </c>
    </row>
    <row r="923" spans="1:31" hidden="1">
      <c r="A923" s="2" t="s">
        <v>4215</v>
      </c>
      <c r="B923" s="42">
        <v>45141</v>
      </c>
      <c r="C923" s="2" t="s">
        <v>4016</v>
      </c>
      <c r="D923" s="2" t="s">
        <v>528</v>
      </c>
      <c r="E923" s="2" t="s">
        <v>66</v>
      </c>
      <c r="F923" s="1" t="s">
        <v>34</v>
      </c>
      <c r="G923" s="49" t="s">
        <v>4233</v>
      </c>
      <c r="H923" s="66" t="s">
        <v>2079</v>
      </c>
      <c r="I923" s="10">
        <v>272053</v>
      </c>
      <c r="J923" s="29"/>
      <c r="M923" s="2" t="s">
        <v>93</v>
      </c>
      <c r="N923" s="2" t="s">
        <v>48</v>
      </c>
      <c r="O923" s="7" t="s">
        <v>3090</v>
      </c>
      <c r="P923" s="2" t="s">
        <v>4018</v>
      </c>
      <c r="Q923" s="2" t="s">
        <v>3091</v>
      </c>
      <c r="R923" s="2">
        <v>55431</v>
      </c>
      <c r="S923" s="2">
        <v>44.835090000000001</v>
      </c>
      <c r="T923" s="2">
        <v>-93.298862</v>
      </c>
      <c r="W923" s="10"/>
      <c r="AC923" s="2" t="s">
        <v>51</v>
      </c>
      <c r="AD923" s="2">
        <f t="shared" si="14"/>
        <v>2023</v>
      </c>
    </row>
    <row r="924" spans="1:31" hidden="1">
      <c r="A924" s="2" t="s">
        <v>4067</v>
      </c>
      <c r="B924" s="42">
        <v>45142</v>
      </c>
      <c r="C924" s="2" t="s">
        <v>4234</v>
      </c>
      <c r="D924" s="66" t="s">
        <v>3397</v>
      </c>
      <c r="E924" s="2" t="s">
        <v>3388</v>
      </c>
      <c r="F924" s="1" t="s">
        <v>34</v>
      </c>
      <c r="G924" s="49" t="s">
        <v>4235</v>
      </c>
      <c r="H924" s="66" t="s">
        <v>3231</v>
      </c>
      <c r="I924" s="10">
        <v>55652250</v>
      </c>
      <c r="J924" s="29">
        <v>50</v>
      </c>
      <c r="K924" s="2">
        <v>83</v>
      </c>
      <c r="L924" s="5">
        <v>210000</v>
      </c>
      <c r="N924" s="2" t="s">
        <v>253</v>
      </c>
      <c r="O924" s="7" t="s">
        <v>4236</v>
      </c>
      <c r="P924" s="2" t="s">
        <v>4237</v>
      </c>
      <c r="Q924" s="2" t="s">
        <v>4238</v>
      </c>
      <c r="R924" s="2">
        <v>55744</v>
      </c>
      <c r="S924" s="2">
        <v>47.216428000000001</v>
      </c>
      <c r="T924" s="2">
        <v>-93.526953000000006</v>
      </c>
      <c r="U924" s="2" t="s">
        <v>378</v>
      </c>
      <c r="V924" s="2" t="s">
        <v>4239</v>
      </c>
      <c r="W924" s="10">
        <f>2790000+2500000+2178210+2073572+1400000</f>
        <v>10941782</v>
      </c>
      <c r="Y924" s="2" t="s">
        <v>4240</v>
      </c>
      <c r="AC924" s="2" t="s">
        <v>97</v>
      </c>
      <c r="AD924" s="2">
        <f t="shared" ref="AD924:AD987" si="15">YEAR(B924)</f>
        <v>2023</v>
      </c>
    </row>
    <row r="925" spans="1:31" hidden="1">
      <c r="A925" s="2" t="s">
        <v>4215</v>
      </c>
      <c r="B925" s="215">
        <v>45145</v>
      </c>
      <c r="C925" s="74" t="s">
        <v>4241</v>
      </c>
      <c r="D925" s="77" t="s">
        <v>1078</v>
      </c>
      <c r="E925" s="1" t="s">
        <v>91</v>
      </c>
      <c r="F925" s="1" t="s">
        <v>34</v>
      </c>
      <c r="G925" s="49" t="s">
        <v>4242</v>
      </c>
      <c r="H925" s="66" t="s">
        <v>131</v>
      </c>
      <c r="I925" s="36">
        <v>1200000</v>
      </c>
      <c r="J925" s="35"/>
      <c r="L925" s="5">
        <v>5400</v>
      </c>
      <c r="M925" s="2" t="s">
        <v>2165</v>
      </c>
      <c r="N925" s="2" t="s">
        <v>48</v>
      </c>
      <c r="O925" s="7" t="s">
        <v>4236</v>
      </c>
      <c r="Q925" s="157" t="s">
        <v>3806</v>
      </c>
      <c r="R925" s="2">
        <v>55746</v>
      </c>
      <c r="S925" s="2">
        <v>47.394854000000002</v>
      </c>
      <c r="T925" s="2">
        <v>-92.876908999999998</v>
      </c>
      <c r="W925" s="36"/>
      <c r="AC925" s="2" t="s">
        <v>97</v>
      </c>
      <c r="AD925" s="2">
        <f t="shared" si="15"/>
        <v>2023</v>
      </c>
    </row>
    <row r="926" spans="1:31" hidden="1">
      <c r="A926" s="2" t="s">
        <v>4215</v>
      </c>
      <c r="B926" s="42">
        <v>45145</v>
      </c>
      <c r="C926" s="2" t="s">
        <v>4243</v>
      </c>
      <c r="D926" s="66" t="s">
        <v>448</v>
      </c>
      <c r="E926" s="2" t="s">
        <v>66</v>
      </c>
      <c r="F926" s="1" t="s">
        <v>34</v>
      </c>
      <c r="G926" s="49" t="s">
        <v>4244</v>
      </c>
      <c r="H926" s="66" t="s">
        <v>4245</v>
      </c>
      <c r="I926" s="10"/>
      <c r="J926" s="29">
        <v>30</v>
      </c>
      <c r="L926" s="5">
        <v>27000</v>
      </c>
      <c r="M926" s="2" t="s">
        <v>167</v>
      </c>
      <c r="N926" s="2" t="s">
        <v>48</v>
      </c>
      <c r="O926" s="7" t="s">
        <v>4246</v>
      </c>
      <c r="Q926" s="180" t="s">
        <v>4247</v>
      </c>
      <c r="R926" s="2">
        <v>55344</v>
      </c>
      <c r="S926" s="2">
        <v>44.884169999999997</v>
      </c>
      <c r="T926" s="2">
        <v>-93.405259000000001</v>
      </c>
      <c r="W926" s="10"/>
      <c r="AC926" s="2" t="s">
        <v>51</v>
      </c>
      <c r="AD926" s="2">
        <f t="shared" si="15"/>
        <v>2023</v>
      </c>
    </row>
    <row r="927" spans="1:31" hidden="1">
      <c r="A927" s="2" t="s">
        <v>4215</v>
      </c>
      <c r="B927" s="210">
        <v>45147</v>
      </c>
      <c r="C927" s="218" t="s">
        <v>4248</v>
      </c>
      <c r="D927" s="218" t="s">
        <v>1051</v>
      </c>
      <c r="E927" s="2" t="s">
        <v>66</v>
      </c>
      <c r="F927" s="1" t="s">
        <v>34</v>
      </c>
      <c r="G927" s="49" t="s">
        <v>4249</v>
      </c>
      <c r="H927" s="66" t="s">
        <v>3231</v>
      </c>
      <c r="I927" s="10"/>
      <c r="J927" s="29"/>
      <c r="L927" s="5">
        <v>248000</v>
      </c>
      <c r="M927" s="2" t="s">
        <v>132</v>
      </c>
      <c r="N927" s="2" t="s">
        <v>48</v>
      </c>
      <c r="O927" s="7" t="s">
        <v>4250</v>
      </c>
      <c r="Q927" s="187" t="s">
        <v>4251</v>
      </c>
      <c r="R927" s="2">
        <v>55327</v>
      </c>
      <c r="S927" s="2">
        <v>45.166874999999997</v>
      </c>
      <c r="T927" s="2">
        <v>-93.495929000000004</v>
      </c>
      <c r="W927" s="10"/>
      <c r="AC927" s="2" t="s">
        <v>51</v>
      </c>
      <c r="AD927" s="2">
        <f t="shared" si="15"/>
        <v>2023</v>
      </c>
    </row>
    <row r="928" spans="1:31" hidden="1">
      <c r="A928" s="2" t="s">
        <v>4215</v>
      </c>
      <c r="B928" s="42">
        <v>45156</v>
      </c>
      <c r="C928" s="1" t="s">
        <v>4252</v>
      </c>
      <c r="D928" s="1" t="s">
        <v>276</v>
      </c>
      <c r="E928" s="38" t="s">
        <v>277</v>
      </c>
      <c r="F928" s="1" t="s">
        <v>34</v>
      </c>
      <c r="G928" s="75" t="s">
        <v>4253</v>
      </c>
      <c r="H928" s="2" t="s">
        <v>4254</v>
      </c>
      <c r="I928" s="39">
        <v>8500000</v>
      </c>
      <c r="J928" s="41">
        <v>13</v>
      </c>
      <c r="K928" s="2">
        <v>122</v>
      </c>
      <c r="N928" s="2" t="s">
        <v>77</v>
      </c>
      <c r="O928" s="2" t="s">
        <v>114</v>
      </c>
      <c r="P928" s="2" t="s">
        <v>658</v>
      </c>
      <c r="Q928" s="157" t="s">
        <v>4255</v>
      </c>
      <c r="R928" s="2">
        <v>56601</v>
      </c>
      <c r="S928" s="2">
        <v>47.50423</v>
      </c>
      <c r="T928" s="2">
        <v>-94.934330000000003</v>
      </c>
      <c r="U928" s="2" t="s">
        <v>378</v>
      </c>
      <c r="V928" s="2" t="s">
        <v>4256</v>
      </c>
      <c r="W928" s="10">
        <v>1509300</v>
      </c>
      <c r="AC928" s="2" t="s">
        <v>97</v>
      </c>
      <c r="AD928" s="2">
        <f t="shared" si="15"/>
        <v>2023</v>
      </c>
    </row>
    <row r="929" spans="1:30" hidden="1">
      <c r="A929" s="2" t="s">
        <v>4215</v>
      </c>
      <c r="B929" s="68">
        <v>45167</v>
      </c>
      <c r="C929" s="74" t="s">
        <v>4257</v>
      </c>
      <c r="D929" s="77" t="s">
        <v>65</v>
      </c>
      <c r="E929" s="2" t="s">
        <v>66</v>
      </c>
      <c r="F929" s="1" t="s">
        <v>34</v>
      </c>
      <c r="G929" s="49" t="s">
        <v>4258</v>
      </c>
      <c r="H929" s="66" t="s">
        <v>1359</v>
      </c>
      <c r="I929" s="36"/>
      <c r="J929" s="35">
        <v>150</v>
      </c>
      <c r="L929" s="5">
        <v>20000</v>
      </c>
      <c r="M929" s="2" t="s">
        <v>85</v>
      </c>
      <c r="N929" s="2" t="s">
        <v>86</v>
      </c>
      <c r="O929" s="7" t="s">
        <v>4259</v>
      </c>
      <c r="Q929" s="180" t="s">
        <v>4260</v>
      </c>
      <c r="R929" s="2">
        <v>55401</v>
      </c>
      <c r="S929" s="2">
        <v>44.982748000000001</v>
      </c>
      <c r="T929" s="2">
        <v>-93.281705000000002</v>
      </c>
      <c r="W929" s="36"/>
      <c r="AC929" s="2" t="s">
        <v>51</v>
      </c>
      <c r="AD929" s="2">
        <f t="shared" si="15"/>
        <v>2023</v>
      </c>
    </row>
    <row r="930" spans="1:30" hidden="1">
      <c r="A930" s="2" t="s">
        <v>4215</v>
      </c>
      <c r="B930" s="210">
        <v>45168</v>
      </c>
      <c r="C930" s="218" t="s">
        <v>4261</v>
      </c>
      <c r="D930" s="2" t="s">
        <v>528</v>
      </c>
      <c r="E930" s="2" t="s">
        <v>66</v>
      </c>
      <c r="F930" s="1" t="s">
        <v>34</v>
      </c>
      <c r="G930" s="49" t="s">
        <v>4262</v>
      </c>
      <c r="H930" s="66" t="s">
        <v>2422</v>
      </c>
      <c r="I930" s="10"/>
      <c r="J930" s="29"/>
      <c r="L930" s="5">
        <v>13491</v>
      </c>
      <c r="M930" s="2" t="s">
        <v>4159</v>
      </c>
      <c r="N930" s="251" t="s">
        <v>103</v>
      </c>
      <c r="O930" s="7" t="s">
        <v>4263</v>
      </c>
      <c r="Q930" s="180" t="s">
        <v>4264</v>
      </c>
      <c r="R930" s="2">
        <v>55435</v>
      </c>
      <c r="S930" s="2">
        <v>44.860689999999998</v>
      </c>
      <c r="T930" s="2">
        <v>-93.330609999999993</v>
      </c>
      <c r="W930" s="10"/>
      <c r="AC930" s="2" t="s">
        <v>51</v>
      </c>
      <c r="AD930" s="2">
        <f t="shared" si="15"/>
        <v>2023</v>
      </c>
    </row>
    <row r="931" spans="1:30" hidden="1">
      <c r="A931" s="2" t="s">
        <v>4215</v>
      </c>
      <c r="B931" s="42">
        <v>45170</v>
      </c>
      <c r="C931" s="1" t="s">
        <v>4265</v>
      </c>
      <c r="D931" s="66" t="s">
        <v>65</v>
      </c>
      <c r="E931" s="2" t="s">
        <v>66</v>
      </c>
      <c r="F931" s="1" t="s">
        <v>34</v>
      </c>
      <c r="G931" s="49" t="s">
        <v>4266</v>
      </c>
      <c r="H931" s="66" t="s">
        <v>2834</v>
      </c>
      <c r="I931" s="10">
        <v>5050000</v>
      </c>
      <c r="J931" s="29">
        <v>36</v>
      </c>
      <c r="K931" s="2">
        <v>127</v>
      </c>
      <c r="M931" s="2" t="s">
        <v>93</v>
      </c>
      <c r="N931" s="2" t="s">
        <v>48</v>
      </c>
      <c r="O931" s="2" t="s">
        <v>4267</v>
      </c>
      <c r="P931" s="2" t="s">
        <v>4268</v>
      </c>
      <c r="Q931" s="180" t="s">
        <v>4269</v>
      </c>
      <c r="R931" s="2">
        <v>55414</v>
      </c>
      <c r="S931" s="2">
        <v>44.982745000000001</v>
      </c>
      <c r="T931" s="2">
        <v>-93.224102999999999</v>
      </c>
      <c r="U931" s="2" t="s">
        <v>378</v>
      </c>
      <c r="V931" s="2" t="s">
        <v>1306</v>
      </c>
      <c r="W931" s="76">
        <v>175000</v>
      </c>
      <c r="X931" s="2" t="s">
        <v>116</v>
      </c>
      <c r="Y931" s="2" t="s">
        <v>4270</v>
      </c>
      <c r="Z931" s="2" t="s">
        <v>4271</v>
      </c>
      <c r="AB931" s="2" t="s">
        <v>347</v>
      </c>
      <c r="AC931" s="2" t="s">
        <v>51</v>
      </c>
      <c r="AD931" s="2">
        <f t="shared" si="15"/>
        <v>2023</v>
      </c>
    </row>
    <row r="932" spans="1:30" hidden="1">
      <c r="A932" s="2" t="s">
        <v>4215</v>
      </c>
      <c r="B932" s="42">
        <v>45174</v>
      </c>
      <c r="C932" s="2" t="s">
        <v>4272</v>
      </c>
      <c r="D932" s="66" t="s">
        <v>197</v>
      </c>
      <c r="E932" s="2" t="s">
        <v>99</v>
      </c>
      <c r="F932" s="1" t="s">
        <v>34</v>
      </c>
      <c r="G932" s="49" t="s">
        <v>4273</v>
      </c>
      <c r="H932" s="2" t="s">
        <v>2130</v>
      </c>
      <c r="I932" s="10"/>
      <c r="J932" s="29"/>
      <c r="M932" s="2" t="s">
        <v>2147</v>
      </c>
      <c r="N932" s="2" t="s">
        <v>48</v>
      </c>
      <c r="O932" s="2" t="s">
        <v>4274</v>
      </c>
      <c r="P932" s="2" t="s">
        <v>2597</v>
      </c>
      <c r="Q932" s="188" t="s">
        <v>4275</v>
      </c>
      <c r="R932" s="2">
        <v>55113</v>
      </c>
      <c r="S932" s="2">
        <v>45.028790000000001</v>
      </c>
      <c r="T932" s="2">
        <v>-93.197739999999996</v>
      </c>
      <c r="W932" s="36"/>
      <c r="AC932" s="2" t="s">
        <v>51</v>
      </c>
      <c r="AD932" s="2">
        <f t="shared" si="15"/>
        <v>2023</v>
      </c>
    </row>
    <row r="933" spans="1:30" hidden="1">
      <c r="A933" s="2" t="s">
        <v>4067</v>
      </c>
      <c r="B933" s="42">
        <v>45177</v>
      </c>
      <c r="C933" s="216" t="s">
        <v>4276</v>
      </c>
      <c r="D933" s="2" t="s">
        <v>3243</v>
      </c>
      <c r="E933" s="2" t="s">
        <v>74</v>
      </c>
      <c r="F933" s="1" t="s">
        <v>34</v>
      </c>
      <c r="G933" s="49" t="s">
        <v>4277</v>
      </c>
      <c r="H933" s="66" t="s">
        <v>2708</v>
      </c>
      <c r="I933" s="10">
        <v>700000000</v>
      </c>
      <c r="J933" s="29">
        <v>50</v>
      </c>
      <c r="L933" s="2">
        <v>750000</v>
      </c>
      <c r="M933" s="1" t="s">
        <v>737</v>
      </c>
      <c r="N933" s="2" t="s">
        <v>300</v>
      </c>
      <c r="O933" s="7" t="s">
        <v>4278</v>
      </c>
      <c r="P933" s="2" t="s">
        <v>285</v>
      </c>
      <c r="Q933" s="157" t="s">
        <v>4279</v>
      </c>
      <c r="R933" s="2">
        <v>55068</v>
      </c>
      <c r="S933" s="2">
        <v>44.739409999999999</v>
      </c>
      <c r="T933" s="2">
        <v>-93.125770000000003</v>
      </c>
      <c r="Z933" s="2" t="s">
        <v>4280</v>
      </c>
      <c r="AA933" s="2" t="s">
        <v>961</v>
      </c>
      <c r="AC933" s="2" t="s">
        <v>51</v>
      </c>
      <c r="AD933" s="2">
        <f t="shared" si="15"/>
        <v>2023</v>
      </c>
    </row>
    <row r="934" spans="1:30" hidden="1">
      <c r="A934" s="2" t="s">
        <v>4215</v>
      </c>
      <c r="B934" s="42">
        <v>45182</v>
      </c>
      <c r="C934" s="66" t="s">
        <v>4281</v>
      </c>
      <c r="D934" s="66" t="s">
        <v>1330</v>
      </c>
      <c r="E934" s="2" t="s">
        <v>99</v>
      </c>
      <c r="F934" s="1" t="s">
        <v>34</v>
      </c>
      <c r="G934" s="49" t="s">
        <v>4282</v>
      </c>
      <c r="H934" s="66" t="s">
        <v>3231</v>
      </c>
      <c r="I934" s="10"/>
      <c r="J934" s="29"/>
      <c r="L934" s="5">
        <v>110692</v>
      </c>
      <c r="M934" s="2" t="s">
        <v>4283</v>
      </c>
      <c r="N934" s="2" t="s">
        <v>103</v>
      </c>
      <c r="O934" s="2" t="s">
        <v>4284</v>
      </c>
      <c r="Q934" s="180" t="s">
        <v>4285</v>
      </c>
      <c r="R934" s="2">
        <v>55112</v>
      </c>
      <c r="S934" s="2">
        <v>45.041742999999997</v>
      </c>
      <c r="T934" s="2">
        <v>-93.193590999999998</v>
      </c>
      <c r="W934" s="10"/>
      <c r="Z934" s="2" t="s">
        <v>4286</v>
      </c>
      <c r="AA934" s="2" t="s">
        <v>261</v>
      </c>
      <c r="AC934" s="2" t="s">
        <v>51</v>
      </c>
      <c r="AD934" s="2">
        <f t="shared" si="15"/>
        <v>2023</v>
      </c>
    </row>
    <row r="935" spans="1:30" hidden="1">
      <c r="A935" s="2" t="s">
        <v>4067</v>
      </c>
      <c r="B935" s="42">
        <v>45182</v>
      </c>
      <c r="C935" s="1" t="s">
        <v>4287</v>
      </c>
      <c r="D935" s="66" t="s">
        <v>4288</v>
      </c>
      <c r="E935" s="2" t="s">
        <v>2322</v>
      </c>
      <c r="F935" s="1" t="s">
        <v>34</v>
      </c>
      <c r="G935" s="49" t="s">
        <v>4289</v>
      </c>
      <c r="H935" s="66" t="s">
        <v>131</v>
      </c>
      <c r="I935" s="10">
        <v>90000000</v>
      </c>
      <c r="J935" s="29">
        <v>38</v>
      </c>
      <c r="L935" s="5">
        <v>500000</v>
      </c>
      <c r="M935" s="2" t="s">
        <v>4290</v>
      </c>
      <c r="N935" s="2" t="s">
        <v>48</v>
      </c>
      <c r="O935" s="2" t="s">
        <v>4291</v>
      </c>
      <c r="P935" s="2" t="s">
        <v>647</v>
      </c>
      <c r="Q935" s="157" t="s">
        <v>4292</v>
      </c>
      <c r="R935" s="2">
        <v>56258</v>
      </c>
      <c r="S935" s="2">
        <v>44.460428999999998</v>
      </c>
      <c r="T935" s="2">
        <v>-95.785871999999998</v>
      </c>
      <c r="U935" s="2" t="s">
        <v>378</v>
      </c>
      <c r="V935" s="2" t="s">
        <v>4293</v>
      </c>
      <c r="W935" s="10">
        <f>760000+15000000+213600000</f>
        <v>229360000</v>
      </c>
      <c r="Z935" s="2" t="s">
        <v>4294</v>
      </c>
      <c r="AA935" s="2" t="s">
        <v>638</v>
      </c>
      <c r="AC935" s="2" t="s">
        <v>120</v>
      </c>
      <c r="AD935" s="2">
        <f t="shared" si="15"/>
        <v>2023</v>
      </c>
    </row>
    <row r="936" spans="1:30" hidden="1">
      <c r="A936" s="2" t="s">
        <v>4215</v>
      </c>
      <c r="B936" s="42">
        <v>45197</v>
      </c>
      <c r="C936" s="2" t="s">
        <v>4086</v>
      </c>
      <c r="D936" s="1" t="s">
        <v>40</v>
      </c>
      <c r="E936" s="2" t="s">
        <v>952</v>
      </c>
      <c r="F936" s="1" t="s">
        <v>34</v>
      </c>
      <c r="G936" s="49" t="s">
        <v>4295</v>
      </c>
      <c r="H936" s="2" t="s">
        <v>131</v>
      </c>
      <c r="I936" s="10">
        <v>2200000</v>
      </c>
      <c r="J936" s="29"/>
      <c r="M936" s="2" t="s">
        <v>167</v>
      </c>
      <c r="N936" s="2" t="s">
        <v>48</v>
      </c>
      <c r="O936" s="7" t="s">
        <v>4296</v>
      </c>
      <c r="P936" s="2" t="s">
        <v>4089</v>
      </c>
      <c r="Q936" s="2" t="s">
        <v>4090</v>
      </c>
      <c r="R936" s="2">
        <v>56303</v>
      </c>
      <c r="S936" s="2">
        <v>45.560004999999997</v>
      </c>
      <c r="T936" s="2">
        <v>-94.244058999999993</v>
      </c>
      <c r="W936" s="10"/>
      <c r="Z936" s="2" t="s">
        <v>4091</v>
      </c>
      <c r="AB936" s="2" t="s">
        <v>719</v>
      </c>
      <c r="AC936" s="2" t="s">
        <v>41</v>
      </c>
      <c r="AD936" s="2">
        <f t="shared" si="15"/>
        <v>2023</v>
      </c>
    </row>
    <row r="937" spans="1:30" hidden="1">
      <c r="A937" s="2" t="s">
        <v>4215</v>
      </c>
      <c r="B937" s="42">
        <v>45198</v>
      </c>
      <c r="C937" s="2" t="s">
        <v>4297</v>
      </c>
      <c r="D937" s="66" t="s">
        <v>165</v>
      </c>
      <c r="E937" s="2" t="s">
        <v>66</v>
      </c>
      <c r="F937" s="1" t="s">
        <v>34</v>
      </c>
      <c r="G937" s="49" t="s">
        <v>4298</v>
      </c>
      <c r="H937" s="2" t="s">
        <v>4299</v>
      </c>
      <c r="I937" s="10"/>
      <c r="L937" s="5">
        <v>76775</v>
      </c>
      <c r="N937" s="2" t="s">
        <v>313</v>
      </c>
      <c r="O937" s="2" t="s">
        <v>4300</v>
      </c>
      <c r="Q937" s="157" t="s">
        <v>4224</v>
      </c>
      <c r="R937" s="2">
        <v>55369</v>
      </c>
      <c r="S937" s="2">
        <v>45.093829999999997</v>
      </c>
      <c r="T937" s="2">
        <v>-93.419179999999997</v>
      </c>
      <c r="W937" s="10"/>
      <c r="Z937" s="2" t="s">
        <v>1739</v>
      </c>
      <c r="AA937" s="2" t="s">
        <v>1820</v>
      </c>
      <c r="AC937" s="2" t="s">
        <v>51</v>
      </c>
      <c r="AD937" s="2">
        <f t="shared" si="15"/>
        <v>2023</v>
      </c>
    </row>
    <row r="938" spans="1:30" hidden="1">
      <c r="A938" s="2" t="s">
        <v>4215</v>
      </c>
      <c r="B938" s="42">
        <v>45198</v>
      </c>
      <c r="C938" s="66" t="s">
        <v>4301</v>
      </c>
      <c r="D938" s="66" t="s">
        <v>165</v>
      </c>
      <c r="E938" s="2" t="s">
        <v>66</v>
      </c>
      <c r="F938" s="1" t="s">
        <v>34</v>
      </c>
      <c r="G938" s="49" t="s">
        <v>4302</v>
      </c>
      <c r="H938" s="2" t="s">
        <v>4303</v>
      </c>
      <c r="I938" s="10"/>
      <c r="J938" s="29"/>
      <c r="L938" s="5">
        <v>100543</v>
      </c>
      <c r="N938" s="2" t="s">
        <v>253</v>
      </c>
      <c r="O938" s="2" t="s">
        <v>4304</v>
      </c>
      <c r="Q938" s="157" t="s">
        <v>4224</v>
      </c>
      <c r="R938" s="2">
        <v>55369</v>
      </c>
      <c r="S938" s="2">
        <v>45.093829999999997</v>
      </c>
      <c r="T938" s="2">
        <v>-93.419179999999997</v>
      </c>
      <c r="W938" s="10"/>
      <c r="Y938" s="2" t="s">
        <v>4305</v>
      </c>
      <c r="Z938" s="2" t="s">
        <v>4306</v>
      </c>
      <c r="AB938" s="2" t="s">
        <v>4306</v>
      </c>
      <c r="AC938" s="2" t="s">
        <v>51</v>
      </c>
      <c r="AD938" s="2">
        <f t="shared" si="15"/>
        <v>2023</v>
      </c>
    </row>
    <row r="939" spans="1:30" hidden="1">
      <c r="A939" s="2" t="s">
        <v>4215</v>
      </c>
      <c r="B939" s="42">
        <v>45198</v>
      </c>
      <c r="C939" s="1" t="s">
        <v>4307</v>
      </c>
      <c r="D939" s="66" t="s">
        <v>1589</v>
      </c>
      <c r="E939" s="2" t="s">
        <v>1590</v>
      </c>
      <c r="F939" s="1" t="s">
        <v>34</v>
      </c>
      <c r="G939" s="49" t="s">
        <v>4308</v>
      </c>
      <c r="H939" s="66" t="s">
        <v>3231</v>
      </c>
      <c r="I939" s="10">
        <v>2688416</v>
      </c>
      <c r="J939" s="29">
        <v>11</v>
      </c>
      <c r="L939" s="5">
        <v>7000</v>
      </c>
      <c r="M939" s="2" t="s">
        <v>2754</v>
      </c>
      <c r="N939" s="2" t="s">
        <v>313</v>
      </c>
      <c r="O939" s="2" t="s">
        <v>114</v>
      </c>
      <c r="P939" s="2" t="s">
        <v>658</v>
      </c>
      <c r="Q939" s="180" t="s">
        <v>4309</v>
      </c>
      <c r="R939" s="2">
        <v>55720</v>
      </c>
      <c r="S939" s="2">
        <v>46.721770999999997</v>
      </c>
      <c r="T939" s="2">
        <v>-92.461181999999994</v>
      </c>
      <c r="U939" s="2" t="s">
        <v>378</v>
      </c>
      <c r="V939" s="2" t="s">
        <v>4310</v>
      </c>
      <c r="W939" s="76">
        <f>220000+154296</f>
        <v>374296</v>
      </c>
      <c r="AC939" s="2" t="s">
        <v>97</v>
      </c>
      <c r="AD939" s="2">
        <f t="shared" si="15"/>
        <v>2023</v>
      </c>
    </row>
    <row r="940" spans="1:30" hidden="1">
      <c r="A940" s="2" t="s">
        <v>4215</v>
      </c>
      <c r="B940" s="42">
        <v>45204</v>
      </c>
      <c r="C940" s="66" t="s">
        <v>4311</v>
      </c>
      <c r="D940" s="66" t="s">
        <v>165</v>
      </c>
      <c r="E940" s="2" t="s">
        <v>66</v>
      </c>
      <c r="F940" s="1" t="s">
        <v>34</v>
      </c>
      <c r="G940" s="49" t="s">
        <v>4312</v>
      </c>
      <c r="H940" s="2" t="s">
        <v>1024</v>
      </c>
      <c r="I940" s="10">
        <v>25000000</v>
      </c>
      <c r="J940" s="29"/>
      <c r="L940" s="5">
        <v>95000</v>
      </c>
      <c r="M940" s="2" t="s">
        <v>4175</v>
      </c>
      <c r="N940" s="2" t="s">
        <v>48</v>
      </c>
      <c r="O940" s="2" t="s">
        <v>4313</v>
      </c>
      <c r="Q940" s="157" t="s">
        <v>4224</v>
      </c>
      <c r="R940" s="2">
        <v>55369</v>
      </c>
      <c r="S940" s="2">
        <v>45.093829999999997</v>
      </c>
      <c r="T940" s="2">
        <v>-93.419179999999997</v>
      </c>
      <c r="W940" s="10"/>
      <c r="Z940" s="2" t="s">
        <v>4314</v>
      </c>
      <c r="AA940" s="2" t="s">
        <v>961</v>
      </c>
      <c r="AC940" s="2" t="s">
        <v>51</v>
      </c>
      <c r="AD940" s="2">
        <f t="shared" si="15"/>
        <v>2023</v>
      </c>
    </row>
    <row r="941" spans="1:30" hidden="1">
      <c r="A941" s="2" t="s">
        <v>4315</v>
      </c>
      <c r="B941" s="210">
        <v>45216</v>
      </c>
      <c r="C941" s="216" t="s">
        <v>4316</v>
      </c>
      <c r="D941" s="218" t="s">
        <v>3397</v>
      </c>
      <c r="E941" s="2" t="s">
        <v>3388</v>
      </c>
      <c r="F941" s="1" t="s">
        <v>34</v>
      </c>
      <c r="G941" s="49" t="s">
        <v>4317</v>
      </c>
      <c r="H941" s="2" t="s">
        <v>131</v>
      </c>
      <c r="I941" s="10">
        <v>68000000</v>
      </c>
      <c r="J941" s="29">
        <v>400</v>
      </c>
      <c r="L941" s="5">
        <v>30000</v>
      </c>
      <c r="M941" s="1" t="s">
        <v>47</v>
      </c>
      <c r="N941" s="2" t="s">
        <v>48</v>
      </c>
      <c r="O941" s="2" t="s">
        <v>4318</v>
      </c>
      <c r="P941" s="2" t="s">
        <v>4319</v>
      </c>
      <c r="R941" s="2">
        <v>55744</v>
      </c>
      <c r="S941" s="2">
        <v>47.237166000000002</v>
      </c>
      <c r="T941" s="2">
        <v>-93.530214000000001</v>
      </c>
      <c r="U941" s="2" t="s">
        <v>378</v>
      </c>
      <c r="V941" s="2" t="s">
        <v>4320</v>
      </c>
      <c r="W941" s="10">
        <f>10000000+2000000</f>
        <v>12000000</v>
      </c>
      <c r="AC941" s="2" t="s">
        <v>97</v>
      </c>
      <c r="AD941" s="2">
        <f t="shared" si="15"/>
        <v>2023</v>
      </c>
    </row>
    <row r="942" spans="1:30" hidden="1">
      <c r="A942" s="2" t="s">
        <v>4315</v>
      </c>
      <c r="B942" s="42">
        <v>45219</v>
      </c>
      <c r="C942" s="1" t="s">
        <v>4321</v>
      </c>
      <c r="D942" s="1" t="s">
        <v>677</v>
      </c>
      <c r="E942" s="1" t="s">
        <v>677</v>
      </c>
      <c r="F942" s="1" t="s">
        <v>34</v>
      </c>
      <c r="G942" s="49" t="s">
        <v>4322</v>
      </c>
      <c r="H942" s="1" t="s">
        <v>131</v>
      </c>
      <c r="I942" s="10">
        <v>27000000</v>
      </c>
      <c r="J942" s="5">
        <v>141</v>
      </c>
      <c r="L942" s="2">
        <v>100000</v>
      </c>
      <c r="M942" s="2" t="s">
        <v>3809</v>
      </c>
      <c r="N942" s="2" t="s">
        <v>48</v>
      </c>
      <c r="O942" s="2" t="s">
        <v>114</v>
      </c>
      <c r="P942" s="2" t="s">
        <v>658</v>
      </c>
      <c r="Q942" s="188" t="s">
        <v>4323</v>
      </c>
      <c r="R942" s="2">
        <v>55303</v>
      </c>
      <c r="S942" s="2">
        <v>45.201655000000002</v>
      </c>
      <c r="T942" s="2">
        <v>-93.373503999999997</v>
      </c>
      <c r="U942" s="2" t="s">
        <v>378</v>
      </c>
      <c r="V942" s="11" t="s">
        <v>2394</v>
      </c>
      <c r="W942" s="11">
        <f>450000+175000</f>
        <v>625000</v>
      </c>
      <c r="AC942" s="2" t="s">
        <v>51</v>
      </c>
      <c r="AD942" s="2">
        <f t="shared" si="15"/>
        <v>2023</v>
      </c>
    </row>
    <row r="943" spans="1:30" hidden="1">
      <c r="A943" s="2" t="s">
        <v>4315</v>
      </c>
      <c r="B943" s="68">
        <v>45222</v>
      </c>
      <c r="C943" s="69" t="s">
        <v>4324</v>
      </c>
      <c r="D943" s="70" t="s">
        <v>4325</v>
      </c>
      <c r="E943" s="70" t="s">
        <v>1557</v>
      </c>
      <c r="F943" s="66" t="s">
        <v>34</v>
      </c>
      <c r="G943" s="2" t="s">
        <v>4326</v>
      </c>
      <c r="I943" s="103">
        <v>778095</v>
      </c>
      <c r="J943" s="95">
        <v>60</v>
      </c>
      <c r="M943" s="2" t="s">
        <v>3902</v>
      </c>
      <c r="N943" s="2" t="s">
        <v>48</v>
      </c>
      <c r="O943" s="2" t="s">
        <v>114</v>
      </c>
      <c r="P943" s="2" t="s">
        <v>4327</v>
      </c>
      <c r="Q943" s="2" t="s">
        <v>4328</v>
      </c>
      <c r="R943" s="2">
        <v>55092</v>
      </c>
      <c r="S943" s="2">
        <v>45.325769000000001</v>
      </c>
      <c r="T943" s="2">
        <v>-93.001211999999995</v>
      </c>
      <c r="U943" s="2" t="s">
        <v>378</v>
      </c>
      <c r="V943" s="2" t="s">
        <v>1793</v>
      </c>
      <c r="W943" s="11">
        <v>391213</v>
      </c>
      <c r="Z943" s="2" t="s">
        <v>4329</v>
      </c>
      <c r="AB943" s="2" t="s">
        <v>4330</v>
      </c>
      <c r="AC943" s="2" t="s">
        <v>41</v>
      </c>
      <c r="AD943" s="2">
        <f t="shared" si="15"/>
        <v>2023</v>
      </c>
    </row>
    <row r="944" spans="1:30" hidden="1">
      <c r="A944" s="2" t="s">
        <v>4315</v>
      </c>
      <c r="B944" s="68">
        <v>45225</v>
      </c>
      <c r="C944" s="69" t="s">
        <v>4331</v>
      </c>
      <c r="D944" s="77" t="s">
        <v>174</v>
      </c>
      <c r="E944" s="70" t="s">
        <v>66</v>
      </c>
      <c r="F944" s="1" t="s">
        <v>34</v>
      </c>
      <c r="G944" s="49" t="s">
        <v>4332</v>
      </c>
      <c r="H944" s="2" t="s">
        <v>3231</v>
      </c>
      <c r="I944" s="10">
        <v>2650000</v>
      </c>
      <c r="J944" s="29"/>
      <c r="L944" s="5">
        <v>18896</v>
      </c>
      <c r="M944" s="2" t="s">
        <v>77</v>
      </c>
      <c r="N944" s="2" t="s">
        <v>77</v>
      </c>
      <c r="O944" s="2" t="s">
        <v>4333</v>
      </c>
      <c r="P944" s="2" t="s">
        <v>647</v>
      </c>
      <c r="Q944" s="2" t="s">
        <v>4334</v>
      </c>
      <c r="R944" s="2">
        <v>55316</v>
      </c>
      <c r="S944" s="2">
        <v>45.084803999999998</v>
      </c>
      <c r="T944" s="2">
        <v>-93.380848</v>
      </c>
      <c r="W944" s="11"/>
      <c r="Z944" s="2" t="s">
        <v>4335</v>
      </c>
      <c r="AA944" s="2" t="s">
        <v>1441</v>
      </c>
      <c r="AC944" s="2" t="s">
        <v>51</v>
      </c>
      <c r="AD944" s="2">
        <f t="shared" si="15"/>
        <v>2023</v>
      </c>
    </row>
    <row r="945" spans="1:30" hidden="1">
      <c r="A945" s="2" t="s">
        <v>4315</v>
      </c>
      <c r="B945" s="68">
        <v>45226</v>
      </c>
      <c r="C945" s="40" t="s">
        <v>4336</v>
      </c>
      <c r="D945" s="222" t="s">
        <v>1952</v>
      </c>
      <c r="E945" s="222" t="s">
        <v>74</v>
      </c>
      <c r="F945" s="1" t="s">
        <v>34</v>
      </c>
      <c r="G945" s="49" t="s">
        <v>4337</v>
      </c>
      <c r="H945" s="2" t="s">
        <v>131</v>
      </c>
      <c r="I945" s="36">
        <v>8328040</v>
      </c>
      <c r="J945" s="5">
        <v>23</v>
      </c>
      <c r="L945" s="5">
        <v>48000</v>
      </c>
      <c r="M945" s="2" t="s">
        <v>93</v>
      </c>
      <c r="N945" s="2" t="s">
        <v>48</v>
      </c>
      <c r="O945" s="2" t="s">
        <v>4338</v>
      </c>
      <c r="P945" s="2" t="s">
        <v>4339</v>
      </c>
      <c r="Q945" s="2" t="s">
        <v>4340</v>
      </c>
      <c r="R945" s="2">
        <v>55077</v>
      </c>
      <c r="S945" s="2">
        <v>44.828336999999998</v>
      </c>
      <c r="T945" s="2">
        <v>-93.071046999999993</v>
      </c>
      <c r="U945" s="2" t="s">
        <v>378</v>
      </c>
      <c r="V945" s="2" t="s">
        <v>4341</v>
      </c>
      <c r="W945" s="11">
        <f>175000+345000</f>
        <v>520000</v>
      </c>
      <c r="X945" s="2" t="s">
        <v>2319</v>
      </c>
      <c r="Y945" s="2" t="s">
        <v>4342</v>
      </c>
      <c r="Z945" s="2" t="s">
        <v>4343</v>
      </c>
      <c r="AB945" s="2" t="s">
        <v>347</v>
      </c>
      <c r="AC945" s="2" t="s">
        <v>51</v>
      </c>
      <c r="AD945" s="2">
        <f t="shared" si="15"/>
        <v>2023</v>
      </c>
    </row>
    <row r="946" spans="1:30" hidden="1">
      <c r="A946" s="2" t="s">
        <v>4315</v>
      </c>
      <c r="B946" s="78">
        <v>45229</v>
      </c>
      <c r="C946" s="220" t="s">
        <v>4003</v>
      </c>
      <c r="D946" s="65" t="s">
        <v>528</v>
      </c>
      <c r="E946" s="2" t="s">
        <v>66</v>
      </c>
      <c r="F946" s="1" t="s">
        <v>34</v>
      </c>
      <c r="G946" s="49" t="s">
        <v>4344</v>
      </c>
      <c r="H946" s="2" t="s">
        <v>2079</v>
      </c>
      <c r="I946" s="37"/>
      <c r="J946" s="29"/>
      <c r="L946" s="5">
        <v>17880</v>
      </c>
      <c r="N946" s="2" t="s">
        <v>69</v>
      </c>
      <c r="O946" s="2" t="s">
        <v>4345</v>
      </c>
      <c r="P946" s="2" t="s">
        <v>3801</v>
      </c>
      <c r="Q946" s="2" t="s">
        <v>4346</v>
      </c>
      <c r="R946" s="2">
        <v>55435</v>
      </c>
      <c r="S946" s="2" t="s">
        <v>4347</v>
      </c>
      <c r="T946" s="2">
        <v>-93.337980000000002</v>
      </c>
      <c r="W946" s="11"/>
      <c r="Z946" s="2" t="s">
        <v>4008</v>
      </c>
      <c r="AB946" s="2" t="s">
        <v>1323</v>
      </c>
      <c r="AC946" s="2" t="s">
        <v>51</v>
      </c>
      <c r="AD946" s="2">
        <f t="shared" si="15"/>
        <v>2023</v>
      </c>
    </row>
    <row r="947" spans="1:30" hidden="1">
      <c r="A947" s="2" t="s">
        <v>4315</v>
      </c>
      <c r="B947" s="42">
        <v>45229</v>
      </c>
      <c r="C947" s="2" t="s">
        <v>4003</v>
      </c>
      <c r="D947" s="66" t="s">
        <v>292</v>
      </c>
      <c r="E947" s="2" t="s">
        <v>66</v>
      </c>
      <c r="F947" s="1" t="s">
        <v>34</v>
      </c>
      <c r="G947" s="49" t="s">
        <v>4348</v>
      </c>
      <c r="H947" s="2" t="s">
        <v>2079</v>
      </c>
      <c r="I947" s="10"/>
      <c r="L947" s="5">
        <v>9900</v>
      </c>
      <c r="N947" s="2" t="s">
        <v>69</v>
      </c>
      <c r="O947" s="2" t="s">
        <v>4345</v>
      </c>
      <c r="P947" s="2" t="s">
        <v>3801</v>
      </c>
      <c r="Q947" s="2" t="s">
        <v>4349</v>
      </c>
      <c r="R947" s="2">
        <v>55430</v>
      </c>
      <c r="S947" s="2">
        <v>45.066695000000003</v>
      </c>
      <c r="T947" s="2">
        <v>-93.305165000000002</v>
      </c>
      <c r="W947" s="10"/>
      <c r="Z947" s="2" t="s">
        <v>4008</v>
      </c>
      <c r="AB947" s="2" t="s">
        <v>1323</v>
      </c>
      <c r="AC947" s="2" t="s">
        <v>51</v>
      </c>
      <c r="AD947" s="2">
        <f t="shared" si="15"/>
        <v>2023</v>
      </c>
    </row>
    <row r="948" spans="1:30" hidden="1">
      <c r="A948" s="2" t="s">
        <v>4315</v>
      </c>
      <c r="B948" s="42">
        <v>45229</v>
      </c>
      <c r="C948" s="2" t="s">
        <v>4003</v>
      </c>
      <c r="D948" s="66" t="s">
        <v>65</v>
      </c>
      <c r="E948" s="2" t="s">
        <v>66</v>
      </c>
      <c r="F948" s="1" t="s">
        <v>34</v>
      </c>
      <c r="G948" s="49" t="s">
        <v>4350</v>
      </c>
      <c r="H948" s="2" t="s">
        <v>2079</v>
      </c>
      <c r="I948" s="10"/>
      <c r="J948" s="29"/>
      <c r="L948" s="5">
        <v>6553</v>
      </c>
      <c r="N948" s="2" t="s">
        <v>69</v>
      </c>
      <c r="O948" s="2" t="s">
        <v>4345</v>
      </c>
      <c r="P948" s="2" t="s">
        <v>3801</v>
      </c>
      <c r="Q948" s="2" t="s">
        <v>4351</v>
      </c>
      <c r="R948" s="2">
        <v>55402</v>
      </c>
      <c r="S948" s="2">
        <v>44.977274999999999</v>
      </c>
      <c r="T948" s="2">
        <v>-93.268749999999997</v>
      </c>
      <c r="W948" s="10"/>
      <c r="Z948" s="2" t="s">
        <v>4008</v>
      </c>
      <c r="AB948" s="2" t="s">
        <v>1323</v>
      </c>
      <c r="AC948" s="2" t="s">
        <v>51</v>
      </c>
      <c r="AD948" s="2">
        <f t="shared" si="15"/>
        <v>2023</v>
      </c>
    </row>
    <row r="949" spans="1:30" hidden="1">
      <c r="A949" s="2" t="s">
        <v>4315</v>
      </c>
      <c r="B949" s="42">
        <v>45229</v>
      </c>
      <c r="C949" s="2" t="s">
        <v>4352</v>
      </c>
      <c r="D949" s="66" t="s">
        <v>65</v>
      </c>
      <c r="E949" s="2" t="s">
        <v>66</v>
      </c>
      <c r="F949" s="1" t="s">
        <v>34</v>
      </c>
      <c r="G949" s="49" t="s">
        <v>4353</v>
      </c>
      <c r="H949" s="2" t="s">
        <v>2079</v>
      </c>
      <c r="I949" s="10"/>
      <c r="L949" s="5">
        <v>22271</v>
      </c>
      <c r="N949" s="2" t="s">
        <v>69</v>
      </c>
      <c r="O949" s="2" t="s">
        <v>4345</v>
      </c>
      <c r="P949" s="2" t="s">
        <v>3801</v>
      </c>
      <c r="Q949" s="2" t="s">
        <v>4354</v>
      </c>
      <c r="R949" s="2">
        <v>55408</v>
      </c>
      <c r="S949" s="2">
        <v>44.949106999999998</v>
      </c>
      <c r="T949" s="2">
        <v>-93.298681999999999</v>
      </c>
      <c r="W949" s="11"/>
      <c r="Z949" s="2" t="s">
        <v>4008</v>
      </c>
      <c r="AB949" s="2" t="s">
        <v>1323</v>
      </c>
      <c r="AC949" s="2" t="s">
        <v>51</v>
      </c>
      <c r="AD949" s="2">
        <f t="shared" si="15"/>
        <v>2023</v>
      </c>
    </row>
    <row r="950" spans="1:30" hidden="1">
      <c r="A950" s="2" t="s">
        <v>4315</v>
      </c>
      <c r="B950" s="42">
        <v>45229</v>
      </c>
      <c r="C950" s="2" t="s">
        <v>4352</v>
      </c>
      <c r="D950" s="66" t="s">
        <v>2113</v>
      </c>
      <c r="E950" s="2" t="s">
        <v>99</v>
      </c>
      <c r="F950" s="1" t="s">
        <v>34</v>
      </c>
      <c r="G950" s="49" t="s">
        <v>4355</v>
      </c>
      <c r="H950" s="2" t="s">
        <v>2079</v>
      </c>
      <c r="I950" s="10"/>
      <c r="L950" s="5">
        <v>9720</v>
      </c>
      <c r="N950" s="2" t="s">
        <v>69</v>
      </c>
      <c r="O950" s="2" t="s">
        <v>4345</v>
      </c>
      <c r="P950" s="2" t="s">
        <v>3801</v>
      </c>
      <c r="Q950" s="2" t="s">
        <v>4356</v>
      </c>
      <c r="R950" s="2">
        <v>55101</v>
      </c>
      <c r="S950" s="2">
        <v>44.938160000000003</v>
      </c>
      <c r="T950" s="2" t="s">
        <v>4357</v>
      </c>
      <c r="W950" s="10"/>
      <c r="Z950" s="2" t="s">
        <v>4008</v>
      </c>
      <c r="AB950" s="2" t="s">
        <v>1323</v>
      </c>
      <c r="AC950" s="2" t="s">
        <v>51</v>
      </c>
      <c r="AD950" s="2">
        <f t="shared" si="15"/>
        <v>2023</v>
      </c>
    </row>
    <row r="951" spans="1:30" hidden="1">
      <c r="A951" s="2" t="s">
        <v>4315</v>
      </c>
      <c r="B951" s="42">
        <v>45232</v>
      </c>
      <c r="C951" s="51" t="s">
        <v>4358</v>
      </c>
      <c r="D951" s="66" t="s">
        <v>1007</v>
      </c>
      <c r="E951" s="2" t="s">
        <v>677</v>
      </c>
      <c r="F951" s="1" t="s">
        <v>34</v>
      </c>
      <c r="G951" s="49" t="s">
        <v>4359</v>
      </c>
      <c r="H951" s="2" t="s">
        <v>4360</v>
      </c>
      <c r="I951" s="10"/>
      <c r="N951" s="2" t="s">
        <v>384</v>
      </c>
      <c r="O951" s="2" t="s">
        <v>4361</v>
      </c>
      <c r="P951" s="2" t="s">
        <v>647</v>
      </c>
      <c r="Q951" s="2" t="s">
        <v>4362</v>
      </c>
      <c r="R951" s="2">
        <v>55449</v>
      </c>
      <c r="S951" s="2">
        <v>45.140158</v>
      </c>
      <c r="T951" s="2">
        <v>-93.229169999999996</v>
      </c>
      <c r="W951" s="11"/>
      <c r="AC951" s="2" t="s">
        <v>51</v>
      </c>
      <c r="AD951" s="2">
        <f t="shared" si="15"/>
        <v>2023</v>
      </c>
    </row>
    <row r="952" spans="1:30" hidden="1">
      <c r="A952" s="2" t="s">
        <v>4315</v>
      </c>
      <c r="B952" s="42">
        <v>45246</v>
      </c>
      <c r="C952" s="2" t="s">
        <v>4363</v>
      </c>
      <c r="D952" s="66" t="s">
        <v>539</v>
      </c>
      <c r="E952" s="2" t="s">
        <v>74</v>
      </c>
      <c r="F952" s="1" t="s">
        <v>34</v>
      </c>
      <c r="G952" s="49" t="s">
        <v>4364</v>
      </c>
      <c r="H952" s="2" t="s">
        <v>131</v>
      </c>
      <c r="I952" s="10"/>
      <c r="M952" s="2" t="s">
        <v>3809</v>
      </c>
      <c r="N952" s="2" t="s">
        <v>48</v>
      </c>
      <c r="O952" s="2" t="s">
        <v>4365</v>
      </c>
      <c r="P952" s="2" t="s">
        <v>2597</v>
      </c>
      <c r="Q952" s="187" t="s">
        <v>4366</v>
      </c>
      <c r="R952" s="2">
        <v>55337</v>
      </c>
      <c r="S952" s="2">
        <v>44.787543999999997</v>
      </c>
      <c r="T952" s="2">
        <v>-93.267735000000002</v>
      </c>
      <c r="W952" s="11"/>
      <c r="X952" s="2" t="s">
        <v>4031</v>
      </c>
      <c r="Y952" s="2" t="s">
        <v>4367</v>
      </c>
      <c r="Z952" s="2" t="s">
        <v>4368</v>
      </c>
      <c r="AB952" s="2" t="s">
        <v>4369</v>
      </c>
      <c r="AC952" s="2" t="s">
        <v>51</v>
      </c>
      <c r="AD952" s="2">
        <f t="shared" si="15"/>
        <v>2023</v>
      </c>
    </row>
    <row r="953" spans="1:30" hidden="1">
      <c r="A953" s="2" t="s">
        <v>4315</v>
      </c>
      <c r="B953" s="42">
        <v>45252</v>
      </c>
      <c r="C953" s="1" t="s">
        <v>4370</v>
      </c>
      <c r="D953" s="1" t="s">
        <v>111</v>
      </c>
      <c r="E953" s="1" t="s">
        <v>112</v>
      </c>
      <c r="F953" s="1" t="s">
        <v>34</v>
      </c>
      <c r="G953" s="49" t="s">
        <v>4371</v>
      </c>
      <c r="H953" s="1" t="s">
        <v>2834</v>
      </c>
      <c r="I953" s="10">
        <v>7335000</v>
      </c>
      <c r="J953" s="5">
        <v>22</v>
      </c>
      <c r="L953" s="5">
        <v>10000</v>
      </c>
      <c r="M953" s="2" t="s">
        <v>684</v>
      </c>
      <c r="N953" s="2" t="s">
        <v>48</v>
      </c>
      <c r="O953" s="2" t="s">
        <v>4372</v>
      </c>
      <c r="P953" s="2" t="s">
        <v>4373</v>
      </c>
      <c r="Q953" s="157" t="s">
        <v>4374</v>
      </c>
      <c r="R953" s="2">
        <v>55904</v>
      </c>
      <c r="S953" s="2">
        <v>44.019002999999998</v>
      </c>
      <c r="T953" s="2">
        <v>-92.466672000000003</v>
      </c>
      <c r="U953" s="2" t="s">
        <v>378</v>
      </c>
      <c r="V953" s="11" t="s">
        <v>4375</v>
      </c>
      <c r="W953" s="11">
        <f>175000+440000</f>
        <v>615000</v>
      </c>
      <c r="AC953" s="2" t="s">
        <v>120</v>
      </c>
      <c r="AD953" s="2">
        <f t="shared" si="15"/>
        <v>2023</v>
      </c>
    </row>
    <row r="954" spans="1:30" hidden="1">
      <c r="A954" s="2" t="s">
        <v>4315</v>
      </c>
      <c r="B954" s="42">
        <v>45258</v>
      </c>
      <c r="C954" s="2" t="s">
        <v>3770</v>
      </c>
      <c r="D954" s="66" t="s">
        <v>1990</v>
      </c>
      <c r="E954" s="2" t="s">
        <v>1991</v>
      </c>
      <c r="F954" s="1" t="s">
        <v>34</v>
      </c>
      <c r="G954" s="49" t="s">
        <v>4376</v>
      </c>
      <c r="H954" s="2" t="s">
        <v>131</v>
      </c>
      <c r="I954" s="10"/>
      <c r="L954" s="5">
        <v>50000</v>
      </c>
      <c r="M954" s="2" t="s">
        <v>496</v>
      </c>
      <c r="N954" s="2" t="s">
        <v>48</v>
      </c>
      <c r="O954" s="2" t="s">
        <v>4377</v>
      </c>
      <c r="P954" s="2" t="s">
        <v>3703</v>
      </c>
      <c r="R954" s="2">
        <v>56621</v>
      </c>
      <c r="S954" s="2">
        <v>47.531644</v>
      </c>
      <c r="T954" s="2">
        <v>-95.377949000000001</v>
      </c>
      <c r="W954" s="10"/>
      <c r="AC954" s="2" t="s">
        <v>97</v>
      </c>
      <c r="AD954" s="2">
        <f t="shared" si="15"/>
        <v>2023</v>
      </c>
    </row>
    <row r="955" spans="1:30" hidden="1">
      <c r="A955" s="2" t="s">
        <v>4315</v>
      </c>
      <c r="B955" s="42">
        <v>45258</v>
      </c>
      <c r="C955" s="2" t="s">
        <v>3141</v>
      </c>
      <c r="D955" s="66" t="s">
        <v>111</v>
      </c>
      <c r="E955" s="2" t="s">
        <v>112</v>
      </c>
      <c r="F955" s="1" t="s">
        <v>34</v>
      </c>
      <c r="G955" s="49" t="s">
        <v>4378</v>
      </c>
      <c r="H955" s="2" t="s">
        <v>2108</v>
      </c>
      <c r="I955" s="10">
        <v>5000000000</v>
      </c>
      <c r="J955" s="5">
        <v>6000</v>
      </c>
      <c r="L955" s="5">
        <v>2400000</v>
      </c>
      <c r="M955" s="2" t="s">
        <v>2109</v>
      </c>
      <c r="N955" s="2" t="s">
        <v>37</v>
      </c>
      <c r="O955" s="2" t="s">
        <v>4379</v>
      </c>
      <c r="P955" s="2" t="s">
        <v>4380</v>
      </c>
      <c r="Q955" s="188" t="s">
        <v>4381</v>
      </c>
      <c r="R955" s="2">
        <v>55902</v>
      </c>
      <c r="S955" s="2">
        <v>44.019613</v>
      </c>
      <c r="T955" s="2">
        <v>-92.481026999999997</v>
      </c>
      <c r="W955" s="11"/>
      <c r="AC955" s="2" t="s">
        <v>120</v>
      </c>
      <c r="AD955" s="2">
        <f t="shared" si="15"/>
        <v>2023</v>
      </c>
    </row>
    <row r="956" spans="1:30" hidden="1">
      <c r="A956" s="2" t="s">
        <v>4315</v>
      </c>
      <c r="B956" s="42">
        <v>45258</v>
      </c>
      <c r="C956" s="2" t="s">
        <v>4382</v>
      </c>
      <c r="D956" s="66" t="s">
        <v>528</v>
      </c>
      <c r="E956" s="2" t="s">
        <v>66</v>
      </c>
      <c r="F956" s="1" t="s">
        <v>34</v>
      </c>
      <c r="G956" s="49" t="s">
        <v>4383</v>
      </c>
      <c r="H956" s="2" t="s">
        <v>1359</v>
      </c>
      <c r="I956" s="10"/>
      <c r="L956" s="5">
        <v>33492</v>
      </c>
      <c r="N956" s="2" t="s">
        <v>86</v>
      </c>
      <c r="O956" s="2" t="s">
        <v>4384</v>
      </c>
      <c r="P956" s="2" t="s">
        <v>3801</v>
      </c>
      <c r="Q956" s="2" t="s">
        <v>4385</v>
      </c>
      <c r="R956" s="2">
        <v>55435</v>
      </c>
      <c r="S956" s="2">
        <v>44.857709999999997</v>
      </c>
      <c r="T956" s="2" t="s">
        <v>4386</v>
      </c>
      <c r="W956" s="11"/>
      <c r="AC956" s="2" t="s">
        <v>51</v>
      </c>
      <c r="AD956" s="2">
        <f t="shared" si="15"/>
        <v>2023</v>
      </c>
    </row>
    <row r="957" spans="1:30" hidden="1">
      <c r="A957" s="2" t="s">
        <v>4315</v>
      </c>
      <c r="B957" s="210">
        <v>45261</v>
      </c>
      <c r="C957" s="216" t="s">
        <v>4387</v>
      </c>
      <c r="D957" s="218" t="s">
        <v>505</v>
      </c>
      <c r="E957" s="216" t="s">
        <v>335</v>
      </c>
      <c r="F957" s="1" t="s">
        <v>34</v>
      </c>
      <c r="G957" s="49" t="s">
        <v>4388</v>
      </c>
      <c r="H957" s="2" t="s">
        <v>3231</v>
      </c>
      <c r="I957" s="10"/>
      <c r="J957" s="29">
        <v>80</v>
      </c>
      <c r="L957" s="5">
        <v>365000</v>
      </c>
      <c r="N957" s="2" t="s">
        <v>253</v>
      </c>
      <c r="O957" s="2" t="s">
        <v>4389</v>
      </c>
      <c r="P957" s="2" t="s">
        <v>3801</v>
      </c>
      <c r="Q957" s="2" t="s">
        <v>4390</v>
      </c>
      <c r="R957" s="2">
        <v>55379</v>
      </c>
      <c r="S957" s="2">
        <v>44.792605999999999</v>
      </c>
      <c r="T957" s="2">
        <v>-93.426365000000004</v>
      </c>
      <c r="W957" s="10"/>
      <c r="Z957" s="2" t="s">
        <v>4391</v>
      </c>
      <c r="AA957" s="2" t="s">
        <v>4392</v>
      </c>
      <c r="AC957" s="2" t="s">
        <v>51</v>
      </c>
      <c r="AD957" s="2">
        <f t="shared" si="15"/>
        <v>2023</v>
      </c>
    </row>
    <row r="958" spans="1:30" ht="15.75" hidden="1" thickBot="1">
      <c r="A958" s="2" t="s">
        <v>4315</v>
      </c>
      <c r="B958" s="42">
        <v>45268</v>
      </c>
      <c r="C958" s="2" t="s">
        <v>4393</v>
      </c>
      <c r="D958" s="66" t="s">
        <v>448</v>
      </c>
      <c r="E958" s="2" t="s">
        <v>66</v>
      </c>
      <c r="F958" s="1" t="s">
        <v>34</v>
      </c>
      <c r="G958" s="49" t="s">
        <v>4394</v>
      </c>
      <c r="H958" s="2" t="s">
        <v>131</v>
      </c>
      <c r="I958" s="84">
        <v>200000000</v>
      </c>
      <c r="J958" s="107">
        <v>500</v>
      </c>
      <c r="L958" s="5">
        <f>345503+96344</f>
        <v>441847</v>
      </c>
      <c r="M958" s="2" t="s">
        <v>684</v>
      </c>
      <c r="N958" s="2" t="s">
        <v>48</v>
      </c>
      <c r="O958" s="7" t="s">
        <v>4395</v>
      </c>
      <c r="P958" s="2" t="s">
        <v>3801</v>
      </c>
      <c r="Q958" s="2" t="s">
        <v>4396</v>
      </c>
      <c r="R958" s="2">
        <v>55344</v>
      </c>
      <c r="S958" s="2">
        <v>44.874907999999998</v>
      </c>
      <c r="T958" s="2">
        <v>-93.411985999999999</v>
      </c>
      <c r="W958" s="84"/>
      <c r="Y958" s="2" t="s">
        <v>4393</v>
      </c>
      <c r="Z958" s="2" t="s">
        <v>3971</v>
      </c>
      <c r="AA958" s="2" t="s">
        <v>503</v>
      </c>
      <c r="AC958" s="2" t="s">
        <v>51</v>
      </c>
      <c r="AD958" s="2">
        <f t="shared" si="15"/>
        <v>2023</v>
      </c>
    </row>
    <row r="959" spans="1:30" hidden="1">
      <c r="A959" s="2" t="s">
        <v>4315</v>
      </c>
      <c r="B959" s="42">
        <v>45275</v>
      </c>
      <c r="C959" s="1" t="s">
        <v>4397</v>
      </c>
      <c r="D959" s="1" t="s">
        <v>448</v>
      </c>
      <c r="E959" s="2" t="s">
        <v>66</v>
      </c>
      <c r="F959" s="66" t="s">
        <v>34</v>
      </c>
      <c r="G959" s="2" t="s">
        <v>4398</v>
      </c>
      <c r="H959" s="2" t="s">
        <v>131</v>
      </c>
      <c r="I959" s="10">
        <v>5149795</v>
      </c>
      <c r="J959" s="95">
        <v>23</v>
      </c>
      <c r="L959" s="5">
        <v>7000</v>
      </c>
      <c r="M959" s="2" t="s">
        <v>450</v>
      </c>
      <c r="N959" s="2" t="s">
        <v>48</v>
      </c>
      <c r="O959" s="2" t="s">
        <v>114</v>
      </c>
      <c r="P959" s="2" t="s">
        <v>658</v>
      </c>
      <c r="Q959" s="2" t="s">
        <v>4399</v>
      </c>
      <c r="R959" s="2">
        <v>55344</v>
      </c>
      <c r="S959" s="2">
        <v>44.866993000000001</v>
      </c>
      <c r="T959" s="2">
        <v>-93.422501999999994</v>
      </c>
      <c r="U959" s="2" t="s">
        <v>378</v>
      </c>
      <c r="V959" s="2" t="s">
        <v>4400</v>
      </c>
      <c r="W959" s="10"/>
      <c r="AC959" s="2" t="s">
        <v>51</v>
      </c>
      <c r="AD959" s="2">
        <f t="shared" si="15"/>
        <v>2023</v>
      </c>
    </row>
    <row r="960" spans="1:30" hidden="1">
      <c r="A960" s="2" t="s">
        <v>4315</v>
      </c>
      <c r="B960" s="42">
        <v>45278</v>
      </c>
      <c r="C960" s="2" t="s">
        <v>4401</v>
      </c>
      <c r="D960" s="2" t="s">
        <v>1007</v>
      </c>
      <c r="E960" s="2" t="s">
        <v>677</v>
      </c>
      <c r="F960" s="66" t="s">
        <v>34</v>
      </c>
      <c r="G960" s="2" t="s">
        <v>4402</v>
      </c>
      <c r="H960" s="2" t="s">
        <v>131</v>
      </c>
      <c r="I960" s="10">
        <f>395990+627998</f>
        <v>1023988</v>
      </c>
      <c r="J960" s="95">
        <v>14</v>
      </c>
      <c r="M960" s="2" t="s">
        <v>574</v>
      </c>
      <c r="N960" s="2" t="s">
        <v>48</v>
      </c>
      <c r="O960" s="7" t="s">
        <v>4403</v>
      </c>
      <c r="P960" s="2" t="s">
        <v>4404</v>
      </c>
      <c r="Q960" s="2" t="s">
        <v>4405</v>
      </c>
      <c r="R960" s="2">
        <v>55449</v>
      </c>
      <c r="S960" s="2">
        <v>45.124870999999999</v>
      </c>
      <c r="T960" s="2">
        <v>-93.189707999999996</v>
      </c>
      <c r="U960" s="2" t="s">
        <v>378</v>
      </c>
      <c r="V960" s="2" t="s">
        <v>4406</v>
      </c>
      <c r="W960" s="79">
        <v>304000</v>
      </c>
      <c r="AC960" s="2" t="s">
        <v>51</v>
      </c>
      <c r="AD960" s="2">
        <f t="shared" si="15"/>
        <v>2023</v>
      </c>
    </row>
    <row r="961" spans="1:31" hidden="1">
      <c r="A961" s="2" t="s">
        <v>4315</v>
      </c>
      <c r="B961" s="42">
        <v>45288</v>
      </c>
      <c r="C961" s="2" t="s">
        <v>4407</v>
      </c>
      <c r="D961" s="2" t="s">
        <v>2448</v>
      </c>
      <c r="E961" s="2" t="s">
        <v>395</v>
      </c>
      <c r="F961" s="66" t="s">
        <v>34</v>
      </c>
      <c r="G961" s="2" t="s">
        <v>4408</v>
      </c>
      <c r="H961" s="2" t="s">
        <v>131</v>
      </c>
      <c r="I961" s="10">
        <v>2650000</v>
      </c>
      <c r="J961" s="95">
        <v>32</v>
      </c>
      <c r="M961" s="2" t="s">
        <v>496</v>
      </c>
      <c r="N961" s="2" t="s">
        <v>48</v>
      </c>
      <c r="O961" s="2" t="s">
        <v>4409</v>
      </c>
      <c r="P961" s="2" t="s">
        <v>4410</v>
      </c>
      <c r="Q961" s="2" t="s">
        <v>4411</v>
      </c>
      <c r="R961" s="2">
        <v>55371</v>
      </c>
      <c r="S961" s="2">
        <v>45.553728</v>
      </c>
      <c r="T961" s="2">
        <v>-93.594196999999994</v>
      </c>
      <c r="U961" s="2" t="s">
        <v>378</v>
      </c>
      <c r="V961" s="2" t="s">
        <v>4412</v>
      </c>
      <c r="W961" s="10"/>
      <c r="AC961" s="2" t="s">
        <v>41</v>
      </c>
      <c r="AD961" s="2">
        <f t="shared" si="15"/>
        <v>2023</v>
      </c>
    </row>
    <row r="962" spans="1:31" hidden="1">
      <c r="A962" s="2" t="s">
        <v>4315</v>
      </c>
      <c r="B962" s="184">
        <v>45289</v>
      </c>
      <c r="C962" s="51" t="s">
        <v>4020</v>
      </c>
      <c r="D962" s="2" t="s">
        <v>528</v>
      </c>
      <c r="E962" s="2" t="s">
        <v>66</v>
      </c>
      <c r="F962" s="1" t="s">
        <v>34</v>
      </c>
      <c r="G962" s="49" t="s">
        <v>4413</v>
      </c>
      <c r="H962" s="2" t="s">
        <v>2079</v>
      </c>
      <c r="I962" s="37">
        <v>700000</v>
      </c>
      <c r="M962" s="2" t="s">
        <v>417</v>
      </c>
      <c r="N962" s="2" t="s">
        <v>48</v>
      </c>
      <c r="O962" s="2" t="s">
        <v>3090</v>
      </c>
      <c r="P962" s="2" t="s">
        <v>2375</v>
      </c>
      <c r="Q962" s="2" t="s">
        <v>4022</v>
      </c>
      <c r="R962" s="2">
        <v>55431</v>
      </c>
      <c r="S962" s="2">
        <v>44.843409000000001</v>
      </c>
      <c r="T962" s="2">
        <v>-93.312070000000006</v>
      </c>
      <c r="W962" s="5"/>
      <c r="Z962" s="2" t="s">
        <v>4023</v>
      </c>
      <c r="AA962" s="2" t="s">
        <v>1499</v>
      </c>
      <c r="AC962" s="2" t="s">
        <v>51</v>
      </c>
      <c r="AD962" s="2">
        <f t="shared" si="15"/>
        <v>2023</v>
      </c>
    </row>
    <row r="963" spans="1:31" hidden="1">
      <c r="A963" s="2" t="s">
        <v>4414</v>
      </c>
      <c r="B963" s="42">
        <v>45295</v>
      </c>
      <c r="C963" s="216" t="s">
        <v>4415</v>
      </c>
      <c r="D963" s="2" t="s">
        <v>65</v>
      </c>
      <c r="E963" s="2" t="s">
        <v>66</v>
      </c>
      <c r="F963" s="66" t="s">
        <v>34</v>
      </c>
      <c r="G963" s="2" t="s">
        <v>4416</v>
      </c>
      <c r="H963" s="2" t="s">
        <v>2079</v>
      </c>
      <c r="I963" s="10"/>
      <c r="L963" s="5">
        <v>9000</v>
      </c>
      <c r="N963" s="2" t="s">
        <v>610</v>
      </c>
      <c r="O963" s="2" t="s">
        <v>4417</v>
      </c>
      <c r="P963" s="2" t="s">
        <v>3667</v>
      </c>
      <c r="Q963" s="2" t="s">
        <v>4418</v>
      </c>
      <c r="R963" s="2">
        <v>55403</v>
      </c>
      <c r="S963" s="2">
        <v>44.979579999999999</v>
      </c>
      <c r="T963" s="2">
        <v>-93.276090999999994</v>
      </c>
      <c r="AC963" s="2" t="s">
        <v>51</v>
      </c>
      <c r="AD963" s="2">
        <f t="shared" si="15"/>
        <v>2024</v>
      </c>
    </row>
    <row r="964" spans="1:31" hidden="1">
      <c r="A964" s="2" t="s">
        <v>4414</v>
      </c>
      <c r="B964" s="42">
        <v>45300</v>
      </c>
      <c r="C964" s="2" t="s">
        <v>4419</v>
      </c>
      <c r="D964" s="2" t="s">
        <v>65</v>
      </c>
      <c r="E964" s="2" t="s">
        <v>66</v>
      </c>
      <c r="F964" s="66" t="s">
        <v>34</v>
      </c>
      <c r="G964" s="2" t="s">
        <v>4420</v>
      </c>
      <c r="H964" s="2" t="s">
        <v>3231</v>
      </c>
      <c r="I964" s="10">
        <v>1000000</v>
      </c>
      <c r="L964" s="5">
        <v>9000</v>
      </c>
      <c r="M964" s="2" t="s">
        <v>2090</v>
      </c>
      <c r="N964" s="2" t="s">
        <v>48</v>
      </c>
      <c r="O964" s="2" t="s">
        <v>4421</v>
      </c>
      <c r="P964" s="2" t="s">
        <v>3667</v>
      </c>
      <c r="Q964" s="2" t="s">
        <v>4422</v>
      </c>
      <c r="R964" s="2">
        <v>55405</v>
      </c>
      <c r="S964" s="2">
        <v>44.980955000000002</v>
      </c>
      <c r="T964" s="2">
        <v>-93.283832000000004</v>
      </c>
      <c r="AC964" s="2" t="s">
        <v>51</v>
      </c>
      <c r="AD964" s="2">
        <f t="shared" si="15"/>
        <v>2024</v>
      </c>
    </row>
    <row r="965" spans="1:31" hidden="1">
      <c r="A965" s="2" t="s">
        <v>4414</v>
      </c>
      <c r="B965" s="42">
        <v>45300</v>
      </c>
      <c r="C965" s="2" t="s">
        <v>4423</v>
      </c>
      <c r="D965" s="2" t="s">
        <v>203</v>
      </c>
      <c r="E965" s="2" t="s">
        <v>74</v>
      </c>
      <c r="F965" s="66" t="s">
        <v>34</v>
      </c>
      <c r="G965" s="2" t="s">
        <v>4424</v>
      </c>
      <c r="H965" s="2" t="s">
        <v>1024</v>
      </c>
      <c r="I965" s="10"/>
      <c r="J965" s="29"/>
      <c r="L965" s="5">
        <v>32000</v>
      </c>
      <c r="M965" s="2" t="s">
        <v>167</v>
      </c>
      <c r="N965" s="2" t="s">
        <v>48</v>
      </c>
      <c r="O965" s="2" t="s">
        <v>4425</v>
      </c>
      <c r="P965" s="2" t="s">
        <v>3667</v>
      </c>
      <c r="Q965" s="2" t="s">
        <v>4426</v>
      </c>
      <c r="R965" s="2">
        <v>55121</v>
      </c>
      <c r="S965" s="2">
        <v>44.858038000000001</v>
      </c>
      <c r="T965" s="2">
        <v>-93.125275000000002</v>
      </c>
      <c r="AC965" s="2" t="s">
        <v>51</v>
      </c>
      <c r="AD965" s="2">
        <f t="shared" si="15"/>
        <v>2024</v>
      </c>
    </row>
    <row r="966" spans="1:31" hidden="1">
      <c r="A966" s="2" t="s">
        <v>4414</v>
      </c>
      <c r="B966" s="42">
        <v>45302</v>
      </c>
      <c r="C966" s="2" t="s">
        <v>4427</v>
      </c>
      <c r="D966" s="2" t="s">
        <v>340</v>
      </c>
      <c r="E966" s="2" t="s">
        <v>66</v>
      </c>
      <c r="F966" s="66" t="s">
        <v>34</v>
      </c>
      <c r="G966" s="2" t="s">
        <v>4428</v>
      </c>
      <c r="H966" s="2" t="s">
        <v>131</v>
      </c>
      <c r="I966" s="11"/>
      <c r="L966" s="5">
        <v>74867</v>
      </c>
      <c r="M966" s="2" t="s">
        <v>3077</v>
      </c>
      <c r="N966" s="2" t="s">
        <v>48</v>
      </c>
      <c r="O966" s="2" t="s">
        <v>4429</v>
      </c>
      <c r="P966" s="2" t="s">
        <v>647</v>
      </c>
      <c r="Q966" s="2" t="s">
        <v>4430</v>
      </c>
      <c r="R966" s="2">
        <v>55447</v>
      </c>
      <c r="S966" s="2">
        <v>45.010776999999997</v>
      </c>
      <c r="T966" s="2">
        <v>-93.475179999999995</v>
      </c>
      <c r="AC966" s="2" t="s">
        <v>51</v>
      </c>
      <c r="AD966" s="2">
        <f t="shared" si="15"/>
        <v>2024</v>
      </c>
    </row>
    <row r="967" spans="1:31" hidden="1">
      <c r="A967" s="2" t="s">
        <v>4414</v>
      </c>
      <c r="B967" s="42">
        <v>45303</v>
      </c>
      <c r="C967" s="2" t="s">
        <v>4431</v>
      </c>
      <c r="D967" s="2" t="s">
        <v>65</v>
      </c>
      <c r="E967" s="2" t="s">
        <v>66</v>
      </c>
      <c r="F967" s="66" t="s">
        <v>34</v>
      </c>
      <c r="G967" s="2" t="s">
        <v>4432</v>
      </c>
      <c r="H967" s="2" t="s">
        <v>3231</v>
      </c>
      <c r="I967" s="11">
        <v>4000000</v>
      </c>
      <c r="L967" s="5">
        <v>24242</v>
      </c>
      <c r="M967" s="2" t="s">
        <v>2090</v>
      </c>
      <c r="N967" s="2" t="s">
        <v>48</v>
      </c>
      <c r="O967" s="2" t="s">
        <v>4433</v>
      </c>
      <c r="P967" s="2" t="s">
        <v>658</v>
      </c>
      <c r="R967" s="2">
        <v>55401</v>
      </c>
      <c r="S967" s="2">
        <v>44.984577000000002</v>
      </c>
      <c r="T967" s="2">
        <v>-93.269097000000002</v>
      </c>
      <c r="U967" s="2" t="s">
        <v>378</v>
      </c>
      <c r="V967" s="2" t="s">
        <v>4434</v>
      </c>
      <c r="W967" s="2">
        <v>394411</v>
      </c>
      <c r="AC967" s="2" t="s">
        <v>51</v>
      </c>
      <c r="AD967" s="2">
        <f t="shared" si="15"/>
        <v>2024</v>
      </c>
    </row>
    <row r="968" spans="1:31" hidden="1">
      <c r="A968" s="2" t="s">
        <v>4414</v>
      </c>
      <c r="B968" s="42">
        <v>45303</v>
      </c>
      <c r="C968" s="2" t="s">
        <v>4435</v>
      </c>
      <c r="D968" s="2" t="s">
        <v>528</v>
      </c>
      <c r="E968" s="2" t="s">
        <v>66</v>
      </c>
      <c r="F968" s="66" t="s">
        <v>34</v>
      </c>
      <c r="G968" s="2" t="s">
        <v>4436</v>
      </c>
      <c r="H968" s="2" t="s">
        <v>2079</v>
      </c>
      <c r="I968" s="104">
        <v>850000</v>
      </c>
      <c r="J968" s="95"/>
      <c r="M968" s="2" t="s">
        <v>3902</v>
      </c>
      <c r="N968" s="2" t="s">
        <v>48</v>
      </c>
      <c r="O968" s="2" t="s">
        <v>3090</v>
      </c>
      <c r="P968" s="2" t="s">
        <v>2375</v>
      </c>
      <c r="Q968" s="2" t="s">
        <v>4437</v>
      </c>
      <c r="R968" s="2">
        <v>55431</v>
      </c>
      <c r="S968" s="2">
        <v>44.833905999999999</v>
      </c>
      <c r="T968" s="2">
        <v>-93.301698000000002</v>
      </c>
      <c r="W968" s="11"/>
      <c r="AC968" s="2" t="s">
        <v>51</v>
      </c>
      <c r="AD968" s="2">
        <f t="shared" si="15"/>
        <v>2024</v>
      </c>
    </row>
    <row r="969" spans="1:31" hidden="1">
      <c r="A969" s="2" t="s">
        <v>4414</v>
      </c>
      <c r="B969" s="42">
        <v>45313</v>
      </c>
      <c r="C969" s="2" t="s">
        <v>4438</v>
      </c>
      <c r="D969" s="2" t="s">
        <v>1741</v>
      </c>
      <c r="E969" s="2" t="s">
        <v>1253</v>
      </c>
      <c r="F969" s="66" t="s">
        <v>34</v>
      </c>
      <c r="G969" s="2" t="s">
        <v>4439</v>
      </c>
      <c r="H969" s="2" t="s">
        <v>3231</v>
      </c>
      <c r="I969" s="11">
        <v>14000000</v>
      </c>
      <c r="L969" s="5">
        <v>23750</v>
      </c>
      <c r="N969" s="2" t="s">
        <v>4440</v>
      </c>
      <c r="O969" s="2" t="s">
        <v>4441</v>
      </c>
      <c r="P969" s="2" t="s">
        <v>647</v>
      </c>
      <c r="Q969" s="99" t="s">
        <v>4442</v>
      </c>
      <c r="R969" s="2">
        <v>55060</v>
      </c>
      <c r="S969" s="2">
        <v>44.085822999999998</v>
      </c>
      <c r="T969" s="2">
        <v>-93.268253999999999</v>
      </c>
      <c r="AC969" s="2" t="s">
        <v>120</v>
      </c>
      <c r="AD969" s="2">
        <f t="shared" si="15"/>
        <v>2024</v>
      </c>
    </row>
    <row r="970" spans="1:31" hidden="1">
      <c r="A970" s="2" t="s">
        <v>4414</v>
      </c>
      <c r="B970" s="42">
        <v>45313</v>
      </c>
      <c r="C970" s="2" t="s">
        <v>4443</v>
      </c>
      <c r="D970" s="2" t="s">
        <v>53</v>
      </c>
      <c r="E970" s="2" t="s">
        <v>54</v>
      </c>
      <c r="F970" s="66" t="s">
        <v>34</v>
      </c>
      <c r="G970" s="2" t="s">
        <v>4444</v>
      </c>
      <c r="H970" s="2" t="s">
        <v>2708</v>
      </c>
      <c r="I970" s="10"/>
      <c r="L970" s="5">
        <v>30000</v>
      </c>
      <c r="M970" s="2" t="s">
        <v>737</v>
      </c>
      <c r="N970" s="2" t="s">
        <v>300</v>
      </c>
      <c r="O970" s="2" t="s">
        <v>4445</v>
      </c>
      <c r="P970" s="2" t="s">
        <v>3667</v>
      </c>
      <c r="Q970" s="2" t="s">
        <v>4446</v>
      </c>
      <c r="R970" s="2">
        <v>55318</v>
      </c>
      <c r="S970" s="2">
        <v>44.808489000000002</v>
      </c>
      <c r="T970" s="2">
        <v>-93.637478000000002</v>
      </c>
      <c r="AC970" s="2" t="s">
        <v>51</v>
      </c>
      <c r="AD970" s="2">
        <f t="shared" si="15"/>
        <v>2024</v>
      </c>
    </row>
    <row r="971" spans="1:31" hidden="1">
      <c r="A971" s="2" t="s">
        <v>4414</v>
      </c>
      <c r="B971" s="42">
        <v>45320</v>
      </c>
      <c r="C971" s="2" t="s">
        <v>442</v>
      </c>
      <c r="D971" s="2" t="s">
        <v>90</v>
      </c>
      <c r="E971" s="2" t="s">
        <v>4447</v>
      </c>
      <c r="F971" s="66" t="s">
        <v>34</v>
      </c>
      <c r="G971" s="2" t="s">
        <v>4448</v>
      </c>
      <c r="H971" s="2" t="s">
        <v>3231</v>
      </c>
      <c r="I971" s="10">
        <v>9000000</v>
      </c>
      <c r="J971" s="5">
        <v>100</v>
      </c>
      <c r="L971" s="5">
        <v>54789</v>
      </c>
      <c r="N971" s="2" t="s">
        <v>253</v>
      </c>
      <c r="O971" s="2" t="s">
        <v>4449</v>
      </c>
      <c r="P971" s="2" t="s">
        <v>3667</v>
      </c>
      <c r="Q971" s="2" t="s">
        <v>4450</v>
      </c>
      <c r="R971" s="2">
        <v>55808</v>
      </c>
      <c r="S971" s="2">
        <v>46.680007000000003</v>
      </c>
      <c r="T971" s="2">
        <v>-92.225217999999998</v>
      </c>
      <c r="AC971" s="2" t="s">
        <v>4451</v>
      </c>
      <c r="AD971" s="2">
        <f t="shared" si="15"/>
        <v>2024</v>
      </c>
    </row>
    <row r="972" spans="1:31" hidden="1">
      <c r="A972" s="2" t="s">
        <v>4414</v>
      </c>
      <c r="B972" s="42">
        <v>45320</v>
      </c>
      <c r="C972" s="83" t="s">
        <v>4452</v>
      </c>
      <c r="D972" s="66" t="s">
        <v>90</v>
      </c>
      <c r="E972" s="2" t="s">
        <v>4447</v>
      </c>
      <c r="F972" s="66" t="s">
        <v>34</v>
      </c>
      <c r="G972" s="2" t="s">
        <v>4453</v>
      </c>
      <c r="H972" s="2" t="s">
        <v>131</v>
      </c>
      <c r="I972" s="10">
        <v>250000000</v>
      </c>
      <c r="J972" s="95">
        <v>160</v>
      </c>
      <c r="K972" s="95">
        <v>80</v>
      </c>
      <c r="L972" s="193">
        <v>588759</v>
      </c>
      <c r="M972" s="2" t="s">
        <v>3077</v>
      </c>
      <c r="N972" s="2" t="s">
        <v>48</v>
      </c>
      <c r="O972" s="2" t="s">
        <v>4454</v>
      </c>
      <c r="P972" s="2" t="s">
        <v>3667</v>
      </c>
      <c r="Q972" s="2" t="s">
        <v>4455</v>
      </c>
      <c r="R972" s="2">
        <v>55807</v>
      </c>
      <c r="S972" s="2">
        <v>46.734701999999999</v>
      </c>
      <c r="T972" s="2">
        <v>-92.162040000000005</v>
      </c>
      <c r="V972" s="2" t="s">
        <v>4456</v>
      </c>
      <c r="W972" s="11">
        <f>14300000+600000+242000+3120000+1680000+2399086</f>
        <v>22341086</v>
      </c>
      <c r="Y972" s="2" t="s">
        <v>4457</v>
      </c>
      <c r="AB972" s="2" t="s">
        <v>370</v>
      </c>
      <c r="AC972" s="2" t="s">
        <v>4451</v>
      </c>
      <c r="AD972" s="2">
        <f t="shared" si="15"/>
        <v>2024</v>
      </c>
      <c r="AE972" s="2" t="s">
        <v>2319</v>
      </c>
    </row>
    <row r="973" spans="1:31" hidden="1">
      <c r="A973" s="2" t="s">
        <v>4414</v>
      </c>
      <c r="B973" s="42">
        <v>45324</v>
      </c>
      <c r="C973" s="1" t="s">
        <v>4458</v>
      </c>
      <c r="D973" s="1" t="s">
        <v>394</v>
      </c>
      <c r="E973" s="2" t="s">
        <v>395</v>
      </c>
      <c r="F973" s="66" t="s">
        <v>34</v>
      </c>
      <c r="G973" s="2" t="s">
        <v>4459</v>
      </c>
      <c r="H973" s="2" t="s">
        <v>131</v>
      </c>
      <c r="I973" s="10">
        <v>23578711</v>
      </c>
      <c r="J973" s="95">
        <v>30</v>
      </c>
      <c r="L973" s="5">
        <v>50000</v>
      </c>
      <c r="M973" s="2" t="s">
        <v>167</v>
      </c>
      <c r="N973" s="2" t="s">
        <v>48</v>
      </c>
      <c r="O973" s="2" t="s">
        <v>4460</v>
      </c>
      <c r="P973" s="2" t="s">
        <v>658</v>
      </c>
      <c r="Q973" s="2" t="s">
        <v>4461</v>
      </c>
      <c r="R973" s="2">
        <v>55309</v>
      </c>
      <c r="S973" s="2">
        <v>45.331040999999999</v>
      </c>
      <c r="T973" s="2">
        <v>-93.722638000000003</v>
      </c>
      <c r="U973" s="2" t="s">
        <v>378</v>
      </c>
      <c r="V973" s="2" t="s">
        <v>4462</v>
      </c>
      <c r="W973" s="11">
        <v>450000</v>
      </c>
      <c r="AC973" s="2" t="s">
        <v>41</v>
      </c>
      <c r="AD973" s="2">
        <f t="shared" si="15"/>
        <v>2024</v>
      </c>
    </row>
    <row r="974" spans="1:31" hidden="1">
      <c r="A974" s="2" t="s">
        <v>4414</v>
      </c>
      <c r="B974" s="42">
        <v>45328</v>
      </c>
      <c r="C974" s="2" t="s">
        <v>4463</v>
      </c>
      <c r="D974" s="2" t="s">
        <v>203</v>
      </c>
      <c r="E974" s="2" t="s">
        <v>74</v>
      </c>
      <c r="F974" s="66" t="s">
        <v>34</v>
      </c>
      <c r="G974" s="2" t="s">
        <v>4464</v>
      </c>
      <c r="H974" s="2" t="s">
        <v>2079</v>
      </c>
      <c r="I974" s="29">
        <v>10000000</v>
      </c>
      <c r="J974" s="95"/>
      <c r="L974" s="5">
        <v>40000</v>
      </c>
      <c r="M974" s="2" t="s">
        <v>1245</v>
      </c>
      <c r="N974" s="2" t="s">
        <v>86</v>
      </c>
      <c r="O974" s="2" t="s">
        <v>4465</v>
      </c>
      <c r="P974" s="2" t="s">
        <v>3667</v>
      </c>
      <c r="Q974" s="2" t="s">
        <v>4466</v>
      </c>
      <c r="R974" s="2">
        <v>55121</v>
      </c>
      <c r="S974" s="2">
        <v>44.858483</v>
      </c>
      <c r="T974" s="2">
        <v>-93.117902999999998</v>
      </c>
      <c r="W974" s="11"/>
      <c r="AC974" s="2" t="s">
        <v>51</v>
      </c>
      <c r="AD974" s="2">
        <f t="shared" si="15"/>
        <v>2024</v>
      </c>
    </row>
    <row r="975" spans="1:31" hidden="1">
      <c r="A975" s="2" t="s">
        <v>4414</v>
      </c>
      <c r="B975" s="42">
        <v>45328</v>
      </c>
      <c r="C975" s="2" t="s">
        <v>4020</v>
      </c>
      <c r="D975" s="2" t="s">
        <v>528</v>
      </c>
      <c r="E975" s="2" t="s">
        <v>66</v>
      </c>
      <c r="F975" s="66" t="s">
        <v>34</v>
      </c>
      <c r="G975" s="2" t="s">
        <v>4467</v>
      </c>
      <c r="H975" s="2" t="s">
        <v>4468</v>
      </c>
      <c r="I975" s="104">
        <v>4200000</v>
      </c>
      <c r="J975" s="95"/>
      <c r="M975" s="2" t="s">
        <v>417</v>
      </c>
      <c r="N975" s="2" t="s">
        <v>48</v>
      </c>
      <c r="O975" s="2" t="s">
        <v>3090</v>
      </c>
      <c r="P975" s="2" t="s">
        <v>2375</v>
      </c>
      <c r="Q975" s="2" t="s">
        <v>4022</v>
      </c>
      <c r="R975" s="2">
        <v>55431</v>
      </c>
      <c r="S975" s="2">
        <v>44.843409000000001</v>
      </c>
      <c r="T975" s="2">
        <v>-93.312070000000006</v>
      </c>
      <c r="W975" s="11"/>
      <c r="AC975" s="2" t="s">
        <v>51</v>
      </c>
      <c r="AD975" s="2">
        <f t="shared" si="15"/>
        <v>2024</v>
      </c>
    </row>
    <row r="976" spans="1:31" hidden="1">
      <c r="A976" s="2" t="s">
        <v>4414</v>
      </c>
      <c r="B976" s="42">
        <v>45331</v>
      </c>
      <c r="C976" s="2" t="s">
        <v>4469</v>
      </c>
      <c r="D976" s="2" t="s">
        <v>165</v>
      </c>
      <c r="E976" s="2" t="s">
        <v>66</v>
      </c>
      <c r="F976" s="66" t="s">
        <v>34</v>
      </c>
      <c r="G976" s="2" t="s">
        <v>4470</v>
      </c>
      <c r="H976" s="2" t="s">
        <v>4471</v>
      </c>
      <c r="I976" s="10">
        <v>31000000</v>
      </c>
      <c r="J976" s="95">
        <v>500</v>
      </c>
      <c r="K976" s="95"/>
      <c r="L976" s="5">
        <v>248000</v>
      </c>
      <c r="M976" s="2" t="s">
        <v>417</v>
      </c>
      <c r="N976" s="2" t="s">
        <v>48</v>
      </c>
      <c r="O976" s="2" t="s">
        <v>4472</v>
      </c>
      <c r="P976" s="2" t="s">
        <v>3667</v>
      </c>
      <c r="R976" s="2">
        <v>55369</v>
      </c>
      <c r="S976" s="2">
        <v>45.127445999999999</v>
      </c>
      <c r="T976" s="2">
        <v>-93.445398999999995</v>
      </c>
      <c r="U976" s="2" t="s">
        <v>378</v>
      </c>
      <c r="V976" s="2" t="s">
        <v>4473</v>
      </c>
      <c r="W976" s="10">
        <v>600000</v>
      </c>
      <c r="X976" s="2" t="s">
        <v>116</v>
      </c>
      <c r="Y976" s="2" t="s">
        <v>4474</v>
      </c>
      <c r="AB976" s="2" t="s">
        <v>4369</v>
      </c>
      <c r="AC976" s="2" t="s">
        <v>51</v>
      </c>
      <c r="AD976" s="2">
        <f t="shared" si="15"/>
        <v>2024</v>
      </c>
      <c r="AE976" s="2" t="s">
        <v>2319</v>
      </c>
    </row>
    <row r="977" spans="1:31" hidden="1">
      <c r="A977" s="2" t="s">
        <v>4414</v>
      </c>
      <c r="B977" s="42">
        <v>45336</v>
      </c>
      <c r="C977" s="2" t="s">
        <v>4475</v>
      </c>
      <c r="D977" s="2" t="s">
        <v>2919</v>
      </c>
      <c r="E977" s="2" t="s">
        <v>395</v>
      </c>
      <c r="F977" s="66" t="s">
        <v>34</v>
      </c>
      <c r="G977" s="2" t="s">
        <v>4476</v>
      </c>
      <c r="H977" s="2" t="s">
        <v>2708</v>
      </c>
      <c r="I977" s="29"/>
      <c r="J977" s="95"/>
      <c r="M977" s="2" t="s">
        <v>531</v>
      </c>
      <c r="N977" s="2" t="s">
        <v>300</v>
      </c>
      <c r="O977" s="2" t="s">
        <v>4477</v>
      </c>
      <c r="P977" s="2" t="s">
        <v>3667</v>
      </c>
      <c r="R977" s="2">
        <v>55308</v>
      </c>
      <c r="S977" s="2">
        <v>45.451864</v>
      </c>
      <c r="T977" s="2">
        <v>-93.842186999999996</v>
      </c>
      <c r="W977" s="11"/>
      <c r="AC977" s="2" t="s">
        <v>41</v>
      </c>
      <c r="AD977" s="2">
        <f t="shared" si="15"/>
        <v>2024</v>
      </c>
    </row>
    <row r="978" spans="1:31" hidden="1">
      <c r="A978" s="2" t="s">
        <v>4414</v>
      </c>
      <c r="B978" s="42">
        <v>45342</v>
      </c>
      <c r="C978" s="1" t="s">
        <v>4478</v>
      </c>
      <c r="D978" s="2" t="s">
        <v>2113</v>
      </c>
      <c r="E978" s="2" t="s">
        <v>99</v>
      </c>
      <c r="F978" s="66" t="s">
        <v>34</v>
      </c>
      <c r="G978" s="2" t="s">
        <v>4479</v>
      </c>
      <c r="H978" s="2" t="s">
        <v>131</v>
      </c>
      <c r="I978" s="10">
        <v>9577841</v>
      </c>
      <c r="J978" s="95">
        <v>15</v>
      </c>
      <c r="L978" s="5">
        <v>30000</v>
      </c>
      <c r="M978" s="2" t="s">
        <v>3809</v>
      </c>
      <c r="N978" s="2" t="s">
        <v>48</v>
      </c>
      <c r="O978" s="2" t="s">
        <v>4480</v>
      </c>
      <c r="P978" s="2" t="s">
        <v>658</v>
      </c>
      <c r="Q978" s="2" t="s">
        <v>4481</v>
      </c>
      <c r="R978" s="2">
        <v>55107</v>
      </c>
      <c r="S978" s="2">
        <v>44.934173999999999</v>
      </c>
      <c r="T978" s="2">
        <v>-93.097359999999995</v>
      </c>
      <c r="U978" s="2" t="s">
        <v>378</v>
      </c>
      <c r="V978" s="2" t="s">
        <v>4434</v>
      </c>
      <c r="W978" s="2">
        <v>178075</v>
      </c>
      <c r="AC978" s="2" t="s">
        <v>51</v>
      </c>
      <c r="AD978" s="2">
        <f t="shared" si="15"/>
        <v>2024</v>
      </c>
    </row>
    <row r="979" spans="1:31" hidden="1">
      <c r="A979" s="2" t="s">
        <v>4414</v>
      </c>
      <c r="B979" s="42">
        <v>45343</v>
      </c>
      <c r="C979" s="238" t="s">
        <v>1460</v>
      </c>
      <c r="D979" s="2" t="s">
        <v>625</v>
      </c>
      <c r="E979" s="2" t="s">
        <v>182</v>
      </c>
      <c r="F979" s="66" t="s">
        <v>34</v>
      </c>
      <c r="G979" s="2" t="s">
        <v>4482</v>
      </c>
      <c r="H979" s="2" t="s">
        <v>131</v>
      </c>
      <c r="I979" s="10">
        <v>7202935</v>
      </c>
      <c r="J979" s="95">
        <v>42</v>
      </c>
      <c r="M979" s="2" t="s">
        <v>132</v>
      </c>
      <c r="N979" s="2" t="s">
        <v>48</v>
      </c>
      <c r="O979" s="2" t="s">
        <v>4480</v>
      </c>
      <c r="P979" s="2" t="s">
        <v>658</v>
      </c>
      <c r="Q979" s="2" t="s">
        <v>4483</v>
      </c>
      <c r="R979" s="2">
        <v>56003</v>
      </c>
      <c r="S979" s="2">
        <v>44.183073999999998</v>
      </c>
      <c r="T979" s="2">
        <v>-94.050661000000005</v>
      </c>
      <c r="U979" s="2" t="s">
        <v>378</v>
      </c>
      <c r="V979" s="2" t="s">
        <v>4484</v>
      </c>
      <c r="W979" s="11"/>
      <c r="AC979" s="2" t="s">
        <v>120</v>
      </c>
      <c r="AD979" s="2">
        <f t="shared" si="15"/>
        <v>2024</v>
      </c>
    </row>
    <row r="980" spans="1:31" hidden="1">
      <c r="A980" s="2" t="s">
        <v>4414</v>
      </c>
      <c r="B980" s="42">
        <v>45348</v>
      </c>
      <c r="C980" s="2" t="s">
        <v>4485</v>
      </c>
      <c r="D980" s="2" t="s">
        <v>1155</v>
      </c>
      <c r="E980" s="2" t="s">
        <v>99</v>
      </c>
      <c r="F980" s="66" t="s">
        <v>34</v>
      </c>
      <c r="G980" s="2" t="s">
        <v>4486</v>
      </c>
      <c r="H980" s="2" t="s">
        <v>2079</v>
      </c>
      <c r="I980" s="10">
        <v>3601013</v>
      </c>
      <c r="J980" s="95">
        <v>59</v>
      </c>
      <c r="K980" s="95"/>
      <c r="L980" s="5">
        <v>7864</v>
      </c>
      <c r="M980" s="2" t="s">
        <v>3487</v>
      </c>
      <c r="N980" s="2" t="s">
        <v>86</v>
      </c>
      <c r="O980" s="2" t="s">
        <v>4480</v>
      </c>
      <c r="P980" s="2" t="s">
        <v>658</v>
      </c>
      <c r="Q980" s="2" t="s">
        <v>4487</v>
      </c>
      <c r="R980" s="2">
        <v>55128</v>
      </c>
      <c r="S980" s="2">
        <v>44.968511999999997</v>
      </c>
      <c r="T980" s="2">
        <v>-92.955151000000001</v>
      </c>
      <c r="U980" s="2" t="s">
        <v>378</v>
      </c>
      <c r="V980" s="2" t="s">
        <v>4488</v>
      </c>
      <c r="W980" s="11">
        <f>450000+539236</f>
        <v>989236</v>
      </c>
      <c r="AC980" s="2" t="s">
        <v>51</v>
      </c>
      <c r="AD980" s="2">
        <f t="shared" si="15"/>
        <v>2024</v>
      </c>
      <c r="AE980" s="2" t="s">
        <v>2319</v>
      </c>
    </row>
    <row r="981" spans="1:31" hidden="1">
      <c r="A981" s="2" t="s">
        <v>4414</v>
      </c>
      <c r="B981" s="42">
        <v>45349</v>
      </c>
      <c r="C981" s="2" t="s">
        <v>4489</v>
      </c>
      <c r="D981" s="2" t="s">
        <v>3864</v>
      </c>
      <c r="E981" s="2" t="s">
        <v>74</v>
      </c>
      <c r="F981" s="66" t="s">
        <v>34</v>
      </c>
      <c r="G981" s="2" t="s">
        <v>4490</v>
      </c>
      <c r="H981" s="2" t="s">
        <v>3231</v>
      </c>
      <c r="I981" s="29"/>
      <c r="J981" s="95"/>
      <c r="L981" s="5">
        <v>100000</v>
      </c>
      <c r="N981" s="2" t="s">
        <v>4440</v>
      </c>
      <c r="O981" s="2" t="s">
        <v>4491</v>
      </c>
      <c r="P981" s="2" t="s">
        <v>647</v>
      </c>
      <c r="Q981" s="2" t="s">
        <v>4492</v>
      </c>
      <c r="R981" s="2">
        <v>55024</v>
      </c>
      <c r="S981" s="2">
        <v>44.645271000000001</v>
      </c>
      <c r="T981" s="2">
        <v>-93.173327999999998</v>
      </c>
      <c r="W981" s="10"/>
      <c r="AC981" s="2" t="s">
        <v>51</v>
      </c>
      <c r="AD981" s="2">
        <f t="shared" si="15"/>
        <v>2024</v>
      </c>
    </row>
    <row r="982" spans="1:31" hidden="1">
      <c r="A982" s="2" t="s">
        <v>4414</v>
      </c>
      <c r="B982" s="42">
        <v>45349</v>
      </c>
      <c r="C982" s="2" t="s">
        <v>4435</v>
      </c>
      <c r="D982" s="2" t="s">
        <v>528</v>
      </c>
      <c r="E982" s="2" t="s">
        <v>66</v>
      </c>
      <c r="F982" s="66" t="s">
        <v>34</v>
      </c>
      <c r="G982" s="2" t="s">
        <v>4493</v>
      </c>
      <c r="H982" s="2" t="s">
        <v>2079</v>
      </c>
      <c r="I982" s="104">
        <v>1350000</v>
      </c>
      <c r="J982" s="95"/>
      <c r="M982" s="2" t="s">
        <v>3902</v>
      </c>
      <c r="N982" s="2" t="s">
        <v>48</v>
      </c>
      <c r="O982" s="2" t="s">
        <v>3090</v>
      </c>
      <c r="P982" s="2" t="s">
        <v>2375</v>
      </c>
      <c r="Q982" s="2" t="s">
        <v>3091</v>
      </c>
      <c r="R982" s="2">
        <v>55431</v>
      </c>
      <c r="S982" s="2">
        <v>44.835090000000001</v>
      </c>
      <c r="T982" s="2">
        <v>-93.298862</v>
      </c>
      <c r="W982" s="11"/>
      <c r="AC982" s="2" t="s">
        <v>51</v>
      </c>
      <c r="AD982" s="2">
        <f t="shared" si="15"/>
        <v>2024</v>
      </c>
    </row>
    <row r="983" spans="1:31" hidden="1">
      <c r="A983" s="2" t="s">
        <v>4414</v>
      </c>
      <c r="B983" s="42">
        <v>45352</v>
      </c>
      <c r="C983" s="2" t="s">
        <v>4494</v>
      </c>
      <c r="D983" s="2" t="s">
        <v>4495</v>
      </c>
      <c r="E983" s="2" t="s">
        <v>3825</v>
      </c>
      <c r="F983" s="66" t="s">
        <v>34</v>
      </c>
      <c r="G983" s="2" t="s">
        <v>4496</v>
      </c>
      <c r="H983" s="2" t="s">
        <v>4497</v>
      </c>
      <c r="I983" s="88">
        <v>20000000</v>
      </c>
      <c r="J983" s="95">
        <v>40</v>
      </c>
      <c r="L983" s="5">
        <v>50000</v>
      </c>
      <c r="M983" s="2" t="s">
        <v>4498</v>
      </c>
      <c r="N983" s="2" t="s">
        <v>48</v>
      </c>
      <c r="O983" s="2" t="s">
        <v>4499</v>
      </c>
      <c r="P983" s="2" t="s">
        <v>3667</v>
      </c>
      <c r="Q983" s="2" t="s">
        <v>4500</v>
      </c>
      <c r="R983" s="2">
        <v>56359</v>
      </c>
      <c r="S983" s="2">
        <v>45.943108000000002</v>
      </c>
      <c r="T983" s="2">
        <v>-93.663151999999997</v>
      </c>
      <c r="W983" s="11"/>
      <c r="AC983" s="2" t="s">
        <v>41</v>
      </c>
      <c r="AD983" s="2">
        <f t="shared" si="15"/>
        <v>2024</v>
      </c>
    </row>
    <row r="984" spans="1:31" hidden="1">
      <c r="A984" s="2" t="s">
        <v>4414</v>
      </c>
      <c r="B984" s="42">
        <v>45355</v>
      </c>
      <c r="C984" s="2" t="s">
        <v>4501</v>
      </c>
      <c r="D984" s="2" t="s">
        <v>340</v>
      </c>
      <c r="E984" s="2" t="s">
        <v>66</v>
      </c>
      <c r="F984" s="66" t="s">
        <v>34</v>
      </c>
      <c r="G984" s="2" t="s">
        <v>4502</v>
      </c>
      <c r="I984" s="194">
        <v>561099</v>
      </c>
      <c r="J984" s="95">
        <v>35</v>
      </c>
      <c r="M984" s="2" t="s">
        <v>2732</v>
      </c>
      <c r="N984" s="2" t="s">
        <v>48</v>
      </c>
      <c r="O984" s="2" t="s">
        <v>4503</v>
      </c>
      <c r="P984" s="2" t="s">
        <v>4327</v>
      </c>
      <c r="Q984" s="2" t="s">
        <v>4504</v>
      </c>
      <c r="R984" s="2">
        <v>55447</v>
      </c>
      <c r="S984" s="2">
        <v>45.003431999999997</v>
      </c>
      <c r="T984" s="2">
        <v>-93.470045999999996</v>
      </c>
      <c r="U984" s="2" t="s">
        <v>378</v>
      </c>
      <c r="V984" s="2" t="s">
        <v>1793</v>
      </c>
      <c r="W984" s="103">
        <v>226729</v>
      </c>
      <c r="AC984" s="2" t="s">
        <v>51</v>
      </c>
      <c r="AD984" s="2">
        <f t="shared" si="15"/>
        <v>2024</v>
      </c>
    </row>
    <row r="985" spans="1:31" hidden="1">
      <c r="A985" s="2" t="s">
        <v>4414</v>
      </c>
      <c r="B985" s="42">
        <v>45355</v>
      </c>
      <c r="C985" s="2" t="s">
        <v>4505</v>
      </c>
      <c r="D985" s="2" t="s">
        <v>544</v>
      </c>
      <c r="E985" s="2" t="s">
        <v>66</v>
      </c>
      <c r="F985" s="66" t="s">
        <v>34</v>
      </c>
      <c r="G985" s="2" t="s">
        <v>4506</v>
      </c>
      <c r="I985" s="194">
        <v>431924</v>
      </c>
      <c r="J985" s="95">
        <v>98</v>
      </c>
      <c r="M985" s="2" t="s">
        <v>2147</v>
      </c>
      <c r="N985" s="2" t="s">
        <v>48</v>
      </c>
      <c r="O985" s="2" t="s">
        <v>4503</v>
      </c>
      <c r="P985" s="2" t="s">
        <v>4327</v>
      </c>
      <c r="Q985" s="2" t="s">
        <v>4507</v>
      </c>
      <c r="R985" s="2">
        <v>55426</v>
      </c>
      <c r="S985" s="2">
        <v>44.927028999999997</v>
      </c>
      <c r="T985" s="2">
        <v>-93.377159000000006</v>
      </c>
      <c r="U985" s="2" t="s">
        <v>378</v>
      </c>
      <c r="V985" s="2" t="s">
        <v>1793</v>
      </c>
      <c r="W985" s="11">
        <v>123434</v>
      </c>
      <c r="AC985" s="2" t="s">
        <v>51</v>
      </c>
      <c r="AD985" s="2">
        <f t="shared" si="15"/>
        <v>2024</v>
      </c>
    </row>
    <row r="986" spans="1:31" ht="15.75" hidden="1" thickBot="1">
      <c r="A986" s="2" t="s">
        <v>4414</v>
      </c>
      <c r="B986" s="42">
        <v>45355</v>
      </c>
      <c r="C986" s="2" t="s">
        <v>4508</v>
      </c>
      <c r="D986" s="2" t="s">
        <v>372</v>
      </c>
      <c r="E986" s="2" t="s">
        <v>373</v>
      </c>
      <c r="F986" s="66" t="s">
        <v>34</v>
      </c>
      <c r="G986" s="2" t="s">
        <v>4509</v>
      </c>
      <c r="H986" s="2" t="s">
        <v>131</v>
      </c>
      <c r="I986" s="143">
        <v>7470000</v>
      </c>
      <c r="J986" s="5">
        <v>65</v>
      </c>
      <c r="L986" s="5">
        <v>40000</v>
      </c>
      <c r="M986" s="2" t="s">
        <v>3809</v>
      </c>
      <c r="N986" s="2" t="s">
        <v>48</v>
      </c>
      <c r="O986" s="2" t="s">
        <v>4510</v>
      </c>
      <c r="P986" s="2" t="s">
        <v>4511</v>
      </c>
      <c r="Q986" s="2" t="s">
        <v>4512</v>
      </c>
      <c r="R986" s="2">
        <v>56001</v>
      </c>
      <c r="S986" s="2">
        <v>44.180294000000004</v>
      </c>
      <c r="T986" s="2">
        <v>-93.939183999999997</v>
      </c>
      <c r="AC986" s="2" t="s">
        <v>120</v>
      </c>
      <c r="AD986" s="2">
        <f t="shared" si="15"/>
        <v>2024</v>
      </c>
    </row>
    <row r="987" spans="1:31" hidden="1">
      <c r="A987" s="2" t="s">
        <v>4414</v>
      </c>
      <c r="B987" s="42">
        <v>45357</v>
      </c>
      <c r="C987" s="2" t="s">
        <v>4513</v>
      </c>
      <c r="D987" s="2" t="s">
        <v>800</v>
      </c>
      <c r="E987" s="2" t="s">
        <v>44</v>
      </c>
      <c r="F987" s="66" t="s">
        <v>34</v>
      </c>
      <c r="G987" s="2" t="s">
        <v>4514</v>
      </c>
      <c r="H987" s="66" t="s">
        <v>3231</v>
      </c>
      <c r="I987" s="88">
        <v>10750000</v>
      </c>
      <c r="J987" s="95"/>
      <c r="L987" s="5">
        <v>90607</v>
      </c>
      <c r="N987" s="2" t="s">
        <v>384</v>
      </c>
      <c r="O987" s="2" t="s">
        <v>4515</v>
      </c>
      <c r="P987" s="2" t="s">
        <v>3667</v>
      </c>
      <c r="Q987" s="2" t="s">
        <v>4516</v>
      </c>
      <c r="R987" s="2">
        <v>55125</v>
      </c>
      <c r="S987" s="2">
        <v>44.914693</v>
      </c>
      <c r="T987" s="2">
        <v>-92.974720000000005</v>
      </c>
      <c r="W987" s="11"/>
      <c r="AC987" s="2" t="s">
        <v>51</v>
      </c>
      <c r="AD987" s="2">
        <f t="shared" si="15"/>
        <v>2024</v>
      </c>
    </row>
    <row r="988" spans="1:31" hidden="1">
      <c r="A988" s="2" t="s">
        <v>4414</v>
      </c>
      <c r="B988" s="42">
        <v>45357</v>
      </c>
      <c r="C988" s="2" t="s">
        <v>4517</v>
      </c>
      <c r="D988" s="2" t="s">
        <v>219</v>
      </c>
      <c r="E988" s="2" t="s">
        <v>44</v>
      </c>
      <c r="F988" s="66" t="s">
        <v>34</v>
      </c>
      <c r="G988" s="2" t="s">
        <v>4518</v>
      </c>
      <c r="H988" s="2" t="s">
        <v>4519</v>
      </c>
      <c r="I988" s="88">
        <v>17000000</v>
      </c>
      <c r="J988" s="95"/>
      <c r="L988" s="5">
        <v>160785</v>
      </c>
      <c r="N988" s="2" t="s">
        <v>313</v>
      </c>
      <c r="O988" s="2" t="s">
        <v>4515</v>
      </c>
      <c r="P988" s="2" t="s">
        <v>3667</v>
      </c>
      <c r="Q988" s="2" t="s">
        <v>4520</v>
      </c>
      <c r="R988" s="2">
        <v>55016</v>
      </c>
      <c r="S988" s="2">
        <v>44.818216</v>
      </c>
      <c r="T988" s="2">
        <v>-92.928610000000006</v>
      </c>
      <c r="W988" s="11"/>
      <c r="AC988" s="2" t="s">
        <v>51</v>
      </c>
      <c r="AD988" s="2">
        <f t="shared" ref="AD988:AD1051" si="16">YEAR(B988)</f>
        <v>2024</v>
      </c>
    </row>
    <row r="989" spans="1:31" hidden="1">
      <c r="A989" s="2" t="s">
        <v>4414</v>
      </c>
      <c r="B989" s="42">
        <v>45363</v>
      </c>
      <c r="C989" s="2" t="s">
        <v>4521</v>
      </c>
      <c r="D989" s="2" t="s">
        <v>986</v>
      </c>
      <c r="E989" s="2" t="s">
        <v>54</v>
      </c>
      <c r="F989" s="66" t="s">
        <v>34</v>
      </c>
      <c r="G989" s="2" t="s">
        <v>4522</v>
      </c>
      <c r="H989" s="2" t="s">
        <v>4523</v>
      </c>
      <c r="I989" s="223"/>
      <c r="J989" s="95"/>
      <c r="M989" s="2" t="s">
        <v>85</v>
      </c>
      <c r="N989" s="2" t="s">
        <v>86</v>
      </c>
      <c r="O989" s="2" t="s">
        <v>4524</v>
      </c>
      <c r="P989" s="2" t="s">
        <v>3667</v>
      </c>
      <c r="Q989" s="2" t="s">
        <v>4525</v>
      </c>
      <c r="R989" s="2">
        <v>55317</v>
      </c>
      <c r="S989" s="2">
        <v>44.855429999999998</v>
      </c>
      <c r="T989" s="2">
        <v>-93.554826000000006</v>
      </c>
      <c r="W989" s="105"/>
      <c r="AC989" s="2" t="s">
        <v>51</v>
      </c>
      <c r="AD989" s="2">
        <f t="shared" si="16"/>
        <v>2024</v>
      </c>
    </row>
    <row r="990" spans="1:31" hidden="1">
      <c r="A990" s="2" t="s">
        <v>4414</v>
      </c>
      <c r="B990" s="42">
        <v>45365</v>
      </c>
      <c r="C990" s="2" t="s">
        <v>4526</v>
      </c>
      <c r="D990" s="2" t="s">
        <v>4527</v>
      </c>
      <c r="E990" s="2" t="s">
        <v>4528</v>
      </c>
      <c r="F990" s="66" t="s">
        <v>34</v>
      </c>
      <c r="G990" s="2" t="s">
        <v>4529</v>
      </c>
      <c r="H990" s="2" t="s">
        <v>131</v>
      </c>
      <c r="I990" s="10">
        <v>801812</v>
      </c>
      <c r="J990" s="95">
        <v>15</v>
      </c>
      <c r="M990" s="2" t="s">
        <v>2754</v>
      </c>
      <c r="N990" s="2" t="s">
        <v>48</v>
      </c>
      <c r="O990" s="2" t="s">
        <v>4530</v>
      </c>
      <c r="P990" s="2" t="s">
        <v>4531</v>
      </c>
      <c r="Q990" s="2" t="s">
        <v>4532</v>
      </c>
      <c r="R990" s="2">
        <v>56484</v>
      </c>
      <c r="S990" s="2">
        <v>47.101638000000001</v>
      </c>
      <c r="T990" s="2">
        <v>-94.581433000000004</v>
      </c>
      <c r="U990" s="2" t="s">
        <v>378</v>
      </c>
      <c r="V990" s="2" t="s">
        <v>4533</v>
      </c>
      <c r="W990" s="10">
        <v>190000</v>
      </c>
      <c r="AC990" s="2" t="s">
        <v>41</v>
      </c>
      <c r="AD990" s="2">
        <f t="shared" si="16"/>
        <v>2024</v>
      </c>
    </row>
    <row r="991" spans="1:31" hidden="1">
      <c r="A991" s="2" t="s">
        <v>4414</v>
      </c>
      <c r="B991" s="42">
        <v>45370</v>
      </c>
      <c r="C991" s="2" t="s">
        <v>4534</v>
      </c>
      <c r="D991" s="2" t="s">
        <v>65</v>
      </c>
      <c r="E991" s="2" t="s">
        <v>66</v>
      </c>
      <c r="F991" s="66" t="s">
        <v>34</v>
      </c>
      <c r="G991" s="2" t="s">
        <v>4535</v>
      </c>
      <c r="H991" s="2" t="s">
        <v>1024</v>
      </c>
      <c r="I991" s="29"/>
      <c r="J991" s="95"/>
      <c r="L991" s="5">
        <v>4000</v>
      </c>
      <c r="N991" s="2" t="s">
        <v>140</v>
      </c>
      <c r="O991" s="2" t="s">
        <v>4536</v>
      </c>
      <c r="P991" s="2" t="s">
        <v>3667</v>
      </c>
      <c r="Q991" s="2" t="s">
        <v>4537</v>
      </c>
      <c r="R991" s="2">
        <v>55415</v>
      </c>
      <c r="S991" s="2">
        <v>44.976573000000002</v>
      </c>
      <c r="T991" s="2">
        <v>-93.256665999999996</v>
      </c>
      <c r="W991" s="10"/>
      <c r="AC991" s="2" t="s">
        <v>51</v>
      </c>
      <c r="AD991" s="2">
        <f t="shared" si="16"/>
        <v>2024</v>
      </c>
    </row>
    <row r="992" spans="1:31" hidden="1">
      <c r="A992" s="2" t="s">
        <v>4414</v>
      </c>
      <c r="B992" s="42">
        <v>45382</v>
      </c>
      <c r="C992" s="2" t="s">
        <v>4538</v>
      </c>
      <c r="D992" s="2" t="s">
        <v>1501</v>
      </c>
      <c r="E992" s="2" t="s">
        <v>677</v>
      </c>
      <c r="F992" s="2" t="s">
        <v>34</v>
      </c>
      <c r="G992" s="2" t="s">
        <v>4539</v>
      </c>
      <c r="H992" s="2" t="s">
        <v>2159</v>
      </c>
      <c r="I992" s="10">
        <v>10836000</v>
      </c>
      <c r="K992" s="5"/>
      <c r="M992" s="2" t="s">
        <v>4540</v>
      </c>
      <c r="N992" s="2" t="s">
        <v>86</v>
      </c>
      <c r="O992" s="2" t="s">
        <v>4541</v>
      </c>
      <c r="P992" s="2" t="s">
        <v>2269</v>
      </c>
      <c r="Q992" s="2" t="s">
        <v>4542</v>
      </c>
      <c r="R992" s="2">
        <v>55433</v>
      </c>
      <c r="S992" s="2">
        <v>45.132492999999997</v>
      </c>
      <c r="T992" s="2">
        <v>-93.279548000000005</v>
      </c>
      <c r="W992" s="10"/>
      <c r="AC992" s="2" t="s">
        <v>51</v>
      </c>
      <c r="AD992" s="2">
        <f t="shared" si="16"/>
        <v>2024</v>
      </c>
    </row>
    <row r="993" spans="1:31" hidden="1">
      <c r="A993" s="2" t="s">
        <v>4414</v>
      </c>
      <c r="B993" s="42">
        <v>45382</v>
      </c>
      <c r="C993" s="2" t="s">
        <v>4543</v>
      </c>
      <c r="D993" s="2" t="s">
        <v>1501</v>
      </c>
      <c r="E993" s="2" t="s">
        <v>677</v>
      </c>
      <c r="F993" s="66" t="s">
        <v>34</v>
      </c>
      <c r="G993" s="2" t="s">
        <v>4544</v>
      </c>
      <c r="H993" s="2" t="s">
        <v>131</v>
      </c>
      <c r="I993" s="11"/>
      <c r="K993" s="5"/>
      <c r="L993" s="5">
        <v>25570</v>
      </c>
      <c r="M993" s="2" t="s">
        <v>3809</v>
      </c>
      <c r="N993" s="2" t="s">
        <v>48</v>
      </c>
      <c r="O993" s="2" t="s">
        <v>4541</v>
      </c>
      <c r="P993" s="2" t="s">
        <v>2269</v>
      </c>
      <c r="Q993" s="2" t="s">
        <v>4545</v>
      </c>
      <c r="R993" s="2">
        <v>55433</v>
      </c>
      <c r="S993" s="2">
        <v>45.140276</v>
      </c>
      <c r="T993" s="2">
        <v>-93.277462</v>
      </c>
      <c r="W993" s="10"/>
      <c r="AC993" s="2" t="s">
        <v>51</v>
      </c>
      <c r="AD993" s="2">
        <f t="shared" si="16"/>
        <v>2024</v>
      </c>
    </row>
    <row r="994" spans="1:31" hidden="1">
      <c r="A994" s="2" t="s">
        <v>4414</v>
      </c>
      <c r="B994" s="42">
        <v>45382</v>
      </c>
      <c r="C994" s="1" t="s">
        <v>4546</v>
      </c>
      <c r="D994" s="2" t="s">
        <v>546</v>
      </c>
      <c r="E994" s="2" t="s">
        <v>74</v>
      </c>
      <c r="F994" s="2" t="s">
        <v>34</v>
      </c>
      <c r="G994" s="2" t="s">
        <v>4547</v>
      </c>
      <c r="H994" s="2" t="s">
        <v>131</v>
      </c>
      <c r="I994" s="10">
        <v>3000000</v>
      </c>
      <c r="J994" s="29"/>
      <c r="K994" s="5"/>
      <c r="M994" s="2" t="s">
        <v>2754</v>
      </c>
      <c r="N994" s="2" t="s">
        <v>48</v>
      </c>
      <c r="O994" s="2" t="s">
        <v>4548</v>
      </c>
      <c r="P994" s="2" t="s">
        <v>3009</v>
      </c>
      <c r="Q994" s="195" t="s">
        <v>4549</v>
      </c>
      <c r="R994" s="2">
        <v>55044</v>
      </c>
      <c r="S994" s="2">
        <v>44.640478000000002</v>
      </c>
      <c r="T994" s="2">
        <v>-93.236052000000001</v>
      </c>
      <c r="W994" s="10"/>
      <c r="AC994" s="2" t="s">
        <v>51</v>
      </c>
      <c r="AD994" s="2">
        <f t="shared" si="16"/>
        <v>2024</v>
      </c>
      <c r="AE994" s="2" t="s">
        <v>2319</v>
      </c>
    </row>
    <row r="995" spans="1:31" hidden="1">
      <c r="A995" s="2" t="s">
        <v>4414</v>
      </c>
      <c r="B995" s="42">
        <v>45391</v>
      </c>
      <c r="C995" s="2" t="s">
        <v>4550</v>
      </c>
      <c r="D995" s="2" t="s">
        <v>65</v>
      </c>
      <c r="E995" s="2" t="s">
        <v>66</v>
      </c>
      <c r="F995" s="66" t="s">
        <v>34</v>
      </c>
      <c r="G995" s="2" t="s">
        <v>4551</v>
      </c>
      <c r="H995" s="2" t="s">
        <v>2079</v>
      </c>
      <c r="I995" s="29"/>
      <c r="J995" s="95"/>
      <c r="L995" s="5">
        <f>25000-7000</f>
        <v>18000</v>
      </c>
      <c r="N995" s="2" t="s">
        <v>2459</v>
      </c>
      <c r="O995" s="2" t="s">
        <v>4552</v>
      </c>
      <c r="P995" s="2" t="s">
        <v>3667</v>
      </c>
      <c r="Q995" s="2" t="s">
        <v>4553</v>
      </c>
      <c r="R995" s="2">
        <v>55401</v>
      </c>
      <c r="S995" s="2">
        <v>44.98874</v>
      </c>
      <c r="T995" s="2">
        <v>-93.281492999999998</v>
      </c>
      <c r="W995" s="10"/>
      <c r="AC995" s="2" t="s">
        <v>51</v>
      </c>
      <c r="AD995" s="2">
        <f t="shared" si="16"/>
        <v>2024</v>
      </c>
    </row>
    <row r="996" spans="1:31" hidden="1">
      <c r="A996" s="2" t="s">
        <v>4554</v>
      </c>
      <c r="B996" s="42">
        <v>45405</v>
      </c>
      <c r="C996" s="2" t="s">
        <v>4555</v>
      </c>
      <c r="D996" s="2" t="s">
        <v>65</v>
      </c>
      <c r="E996" s="2" t="s">
        <v>66</v>
      </c>
      <c r="F996" s="2" t="s">
        <v>34</v>
      </c>
      <c r="G996" s="2" t="s">
        <v>4556</v>
      </c>
      <c r="H996" s="2" t="s">
        <v>2079</v>
      </c>
      <c r="I996" s="11"/>
      <c r="K996" s="5"/>
      <c r="L996" s="5">
        <v>8000</v>
      </c>
      <c r="M996" s="2" t="s">
        <v>85</v>
      </c>
      <c r="N996" s="2" t="s">
        <v>86</v>
      </c>
      <c r="O996" s="2" t="s">
        <v>4557</v>
      </c>
      <c r="P996" s="2" t="s">
        <v>3667</v>
      </c>
      <c r="Q996" s="2" t="s">
        <v>4558</v>
      </c>
      <c r="R996" s="2">
        <v>55401</v>
      </c>
      <c r="S996" s="2">
        <v>44.983297999999998</v>
      </c>
      <c r="T996" s="2">
        <v>-93.270049</v>
      </c>
      <c r="W996" s="11"/>
      <c r="AC996" s="2" t="s">
        <v>51</v>
      </c>
      <c r="AD996" s="2">
        <f t="shared" si="16"/>
        <v>2024</v>
      </c>
    </row>
    <row r="997" spans="1:31" hidden="1">
      <c r="A997" s="2" t="s">
        <v>4554</v>
      </c>
      <c r="B997" s="42">
        <v>45405</v>
      </c>
      <c r="C997" s="2" t="s">
        <v>4559</v>
      </c>
      <c r="D997" s="2" t="s">
        <v>1557</v>
      </c>
      <c r="E997" s="2" t="s">
        <v>1557</v>
      </c>
      <c r="F997" s="66" t="s">
        <v>34</v>
      </c>
      <c r="G997" s="2" t="s">
        <v>4560</v>
      </c>
      <c r="H997" s="2" t="s">
        <v>131</v>
      </c>
      <c r="I997" s="11"/>
      <c r="J997" s="11"/>
      <c r="K997" s="5"/>
      <c r="M997" s="2" t="s">
        <v>3077</v>
      </c>
      <c r="N997" s="2" t="s">
        <v>48</v>
      </c>
      <c r="O997" s="2" t="s">
        <v>4561</v>
      </c>
      <c r="P997" s="2" t="s">
        <v>4562</v>
      </c>
      <c r="Q997" s="181" t="s">
        <v>4563</v>
      </c>
      <c r="R997" s="2">
        <v>55013</v>
      </c>
      <c r="S997" s="2">
        <v>45.362620999999997</v>
      </c>
      <c r="T997" s="2">
        <v>-92.902260999999996</v>
      </c>
      <c r="U997" s="2" t="s">
        <v>378</v>
      </c>
      <c r="V997" s="2" t="s">
        <v>4564</v>
      </c>
      <c r="W997" s="11"/>
      <c r="AC997" s="2" t="s">
        <v>41</v>
      </c>
      <c r="AD997" s="2">
        <f t="shared" si="16"/>
        <v>2024</v>
      </c>
    </row>
    <row r="998" spans="1:31" hidden="1">
      <c r="A998" s="2" t="s">
        <v>4554</v>
      </c>
      <c r="B998" s="42">
        <v>45407</v>
      </c>
      <c r="C998" s="2" t="s">
        <v>4565</v>
      </c>
      <c r="D998" s="2" t="s">
        <v>2113</v>
      </c>
      <c r="E998" s="2" t="s">
        <v>99</v>
      </c>
      <c r="F998" s="2" t="s">
        <v>34</v>
      </c>
      <c r="G998" s="2" t="s">
        <v>4566</v>
      </c>
      <c r="H998" s="2" t="s">
        <v>131</v>
      </c>
      <c r="I998" s="11"/>
      <c r="K998" s="5"/>
      <c r="M998" s="2" t="s">
        <v>167</v>
      </c>
      <c r="N998" s="2" t="s">
        <v>48</v>
      </c>
      <c r="O998" s="2" t="s">
        <v>4567</v>
      </c>
      <c r="P998" s="2" t="s">
        <v>3667</v>
      </c>
      <c r="Q998" s="2" t="s">
        <v>4568</v>
      </c>
      <c r="R998" s="2">
        <v>55114</v>
      </c>
      <c r="S998" s="2">
        <v>44.961851000000003</v>
      </c>
      <c r="T998" s="2">
        <v>-93.195984999999993</v>
      </c>
      <c r="W998" s="11"/>
      <c r="AC998" s="2" t="s">
        <v>51</v>
      </c>
      <c r="AD998" s="2">
        <f t="shared" si="16"/>
        <v>2024</v>
      </c>
    </row>
    <row r="999" spans="1:31" hidden="1">
      <c r="A999" s="2" t="s">
        <v>4554</v>
      </c>
      <c r="B999" s="42">
        <v>45411</v>
      </c>
      <c r="C999" s="2" t="s">
        <v>2823</v>
      </c>
      <c r="D999" s="2" t="s">
        <v>544</v>
      </c>
      <c r="E999" s="2" t="s">
        <v>66</v>
      </c>
      <c r="F999" s="2" t="s">
        <v>34</v>
      </c>
      <c r="G999" s="2" t="s">
        <v>4569</v>
      </c>
      <c r="H999" s="2" t="s">
        <v>131</v>
      </c>
      <c r="I999" s="11">
        <v>1000000</v>
      </c>
      <c r="K999" s="5"/>
      <c r="M999" s="2" t="s">
        <v>3809</v>
      </c>
      <c r="N999" s="2" t="s">
        <v>48</v>
      </c>
      <c r="O999" s="2" t="s">
        <v>4570</v>
      </c>
      <c r="P999" s="2" t="s">
        <v>647</v>
      </c>
      <c r="Q999" s="2" t="s">
        <v>4571</v>
      </c>
      <c r="R999" s="2">
        <v>55416</v>
      </c>
      <c r="S999" s="2">
        <v>44.948047000000003</v>
      </c>
      <c r="T999" s="2">
        <v>-93.342881000000006</v>
      </c>
      <c r="W999" s="11"/>
      <c r="AC999" s="2" t="s">
        <v>51</v>
      </c>
      <c r="AD999" s="2">
        <f t="shared" si="16"/>
        <v>2024</v>
      </c>
    </row>
    <row r="1000" spans="1:31" hidden="1">
      <c r="A1000" s="2" t="s">
        <v>4554</v>
      </c>
      <c r="B1000" s="42">
        <v>45414</v>
      </c>
      <c r="C1000" s="2" t="s">
        <v>4572</v>
      </c>
      <c r="D1000" s="2" t="s">
        <v>528</v>
      </c>
      <c r="E1000" s="2" t="s">
        <v>66</v>
      </c>
      <c r="F1000" s="2" t="s">
        <v>34</v>
      </c>
      <c r="G1000" s="2" t="s">
        <v>4573</v>
      </c>
      <c r="H1000" s="2" t="s">
        <v>2079</v>
      </c>
      <c r="I1000" s="11">
        <v>407650</v>
      </c>
      <c r="K1000" s="5"/>
      <c r="M1000" s="2" t="s">
        <v>4574</v>
      </c>
      <c r="N1000" s="2" t="s">
        <v>103</v>
      </c>
      <c r="O1000" s="7" t="s">
        <v>3090</v>
      </c>
      <c r="P1000" s="2" t="s">
        <v>2375</v>
      </c>
      <c r="Q1000" s="2" t="s">
        <v>2243</v>
      </c>
      <c r="R1000" s="2">
        <v>55437</v>
      </c>
      <c r="S1000" s="2">
        <v>44.854151999999999</v>
      </c>
      <c r="T1000" s="2">
        <v>-93.357275999999999</v>
      </c>
      <c r="W1000" s="11"/>
      <c r="AC1000" s="2" t="s">
        <v>51</v>
      </c>
      <c r="AD1000" s="2">
        <f t="shared" si="16"/>
        <v>2024</v>
      </c>
    </row>
    <row r="1001" spans="1:31" hidden="1">
      <c r="A1001" s="2" t="s">
        <v>4554</v>
      </c>
      <c r="B1001" s="42">
        <v>45415</v>
      </c>
      <c r="C1001" s="2" t="s">
        <v>4575</v>
      </c>
      <c r="D1001" s="2" t="s">
        <v>4576</v>
      </c>
      <c r="E1001" s="2" t="s">
        <v>4576</v>
      </c>
      <c r="F1001" s="2" t="s">
        <v>34</v>
      </c>
      <c r="G1001" s="2" t="s">
        <v>4577</v>
      </c>
      <c r="H1001" s="2" t="s">
        <v>188</v>
      </c>
      <c r="I1001" s="11"/>
      <c r="K1001" s="5"/>
      <c r="L1001" s="5">
        <v>16000</v>
      </c>
      <c r="M1001" s="2" t="s">
        <v>3902</v>
      </c>
      <c r="N1001" s="2" t="s">
        <v>48</v>
      </c>
      <c r="O1001" s="2" t="s">
        <v>4578</v>
      </c>
      <c r="P1001" s="2" t="s">
        <v>3667</v>
      </c>
      <c r="Q1001" s="196" t="s">
        <v>4579</v>
      </c>
      <c r="R1001" s="2">
        <v>56143</v>
      </c>
      <c r="S1001" s="2">
        <v>43.639848999999998</v>
      </c>
      <c r="T1001" s="2">
        <v>-94.976089999999999</v>
      </c>
      <c r="W1001" s="11"/>
      <c r="AC1001" s="2" t="s">
        <v>120</v>
      </c>
      <c r="AD1001" s="2">
        <f t="shared" si="16"/>
        <v>2024</v>
      </c>
    </row>
    <row r="1002" spans="1:31" hidden="1">
      <c r="A1002" s="2" t="s">
        <v>4554</v>
      </c>
      <c r="B1002" s="42">
        <v>45415</v>
      </c>
      <c r="C1002" s="2" t="s">
        <v>4580</v>
      </c>
      <c r="D1002" s="2" t="s">
        <v>4581</v>
      </c>
      <c r="E1002" s="2" t="s">
        <v>112</v>
      </c>
      <c r="F1002" s="2" t="s">
        <v>34</v>
      </c>
      <c r="G1002" s="2" t="s">
        <v>4582</v>
      </c>
      <c r="H1002" s="2" t="s">
        <v>2214</v>
      </c>
      <c r="I1002" s="11"/>
      <c r="K1002" s="5"/>
      <c r="L1002" s="5">
        <v>40000</v>
      </c>
      <c r="N1002" s="2" t="s">
        <v>384</v>
      </c>
      <c r="O1002" s="2" t="s">
        <v>4583</v>
      </c>
      <c r="P1002" s="2" t="s">
        <v>4584</v>
      </c>
      <c r="Q1002" s="2" t="s">
        <v>4585</v>
      </c>
      <c r="R1002" s="2">
        <v>55976</v>
      </c>
      <c r="S1002" s="2">
        <v>43.842461</v>
      </c>
      <c r="T1002" s="2">
        <v>-92.480733999999998</v>
      </c>
      <c r="W1002" s="11"/>
      <c r="AC1002" s="2" t="s">
        <v>120</v>
      </c>
      <c r="AD1002" s="2">
        <f t="shared" si="16"/>
        <v>2024</v>
      </c>
    </row>
    <row r="1003" spans="1:31" hidden="1">
      <c r="A1003" s="2" t="s">
        <v>4554</v>
      </c>
      <c r="B1003" s="42">
        <v>45419</v>
      </c>
      <c r="C1003" s="99" t="s">
        <v>4586</v>
      </c>
      <c r="D1003" s="2" t="s">
        <v>1302</v>
      </c>
      <c r="E1003" s="2" t="s">
        <v>66</v>
      </c>
      <c r="F1003" s="2" t="s">
        <v>34</v>
      </c>
      <c r="G1003" s="2" t="s">
        <v>4587</v>
      </c>
      <c r="H1003" s="2" t="s">
        <v>2159</v>
      </c>
      <c r="I1003" s="11">
        <v>40790000</v>
      </c>
      <c r="J1003" s="5">
        <v>100</v>
      </c>
      <c r="K1003" s="2">
        <v>70</v>
      </c>
      <c r="L1003" s="5">
        <v>90000</v>
      </c>
      <c r="M1003" s="2" t="s">
        <v>167</v>
      </c>
      <c r="N1003" s="2" t="s">
        <v>48</v>
      </c>
      <c r="O1003" s="2" t="s">
        <v>4588</v>
      </c>
      <c r="P1003" s="2" t="s">
        <v>3667</v>
      </c>
      <c r="Q1003" s="2" t="s">
        <v>4589</v>
      </c>
      <c r="R1003" s="2">
        <v>55426</v>
      </c>
      <c r="S1003" s="2">
        <v>44.980018999999999</v>
      </c>
      <c r="T1003" s="2">
        <v>-93.391518000000005</v>
      </c>
      <c r="U1003" s="2" t="s">
        <v>378</v>
      </c>
      <c r="V1003" s="2" t="s">
        <v>4590</v>
      </c>
      <c r="W1003" s="11">
        <f>1370000+1840000</f>
        <v>3210000</v>
      </c>
      <c r="AC1003" s="2" t="s">
        <v>51</v>
      </c>
      <c r="AD1003" s="2">
        <f t="shared" si="16"/>
        <v>2024</v>
      </c>
      <c r="AE1003" s="2" t="s">
        <v>2319</v>
      </c>
    </row>
    <row r="1004" spans="1:31" hidden="1">
      <c r="A1004" s="2" t="s">
        <v>4554</v>
      </c>
      <c r="B1004" s="42">
        <v>45421</v>
      </c>
      <c r="C1004" s="51" t="s">
        <v>4591</v>
      </c>
      <c r="D1004" s="2" t="s">
        <v>528</v>
      </c>
      <c r="E1004" s="2" t="s">
        <v>335</v>
      </c>
      <c r="F1004" s="2" t="s">
        <v>34</v>
      </c>
      <c r="G1004" s="2" t="s">
        <v>4592</v>
      </c>
      <c r="H1004" s="2" t="s">
        <v>1359</v>
      </c>
      <c r="I1004" s="37"/>
      <c r="K1004" s="5"/>
      <c r="L1004" s="5">
        <v>27000</v>
      </c>
      <c r="M1004" s="2" t="s">
        <v>3487</v>
      </c>
      <c r="N1004" s="2" t="s">
        <v>86</v>
      </c>
      <c r="O1004" s="7" t="s">
        <v>4593</v>
      </c>
      <c r="P1004" s="2" t="s">
        <v>3667</v>
      </c>
      <c r="Q1004" s="2" t="s">
        <v>4594</v>
      </c>
      <c r="R1004" s="2">
        <v>55379</v>
      </c>
      <c r="S1004" s="2">
        <v>44.798609999999996</v>
      </c>
      <c r="T1004" s="2">
        <v>-93.519440000000003</v>
      </c>
      <c r="W1004" s="11"/>
      <c r="AC1004" s="2" t="s">
        <v>51</v>
      </c>
      <c r="AD1004" s="2">
        <f t="shared" si="16"/>
        <v>2024</v>
      </c>
    </row>
    <row r="1005" spans="1:31" hidden="1">
      <c r="A1005" s="2" t="s">
        <v>4554</v>
      </c>
      <c r="B1005" s="42">
        <v>45427</v>
      </c>
      <c r="C1005" s="216" t="s">
        <v>4595</v>
      </c>
      <c r="D1005" s="2" t="s">
        <v>546</v>
      </c>
      <c r="E1005" s="2" t="s">
        <v>74</v>
      </c>
      <c r="F1005" s="2" t="s">
        <v>34</v>
      </c>
      <c r="G1005" s="2" t="s">
        <v>4596</v>
      </c>
      <c r="H1005" s="2" t="s">
        <v>2214</v>
      </c>
      <c r="I1005" s="10"/>
      <c r="K1005" s="5"/>
      <c r="L1005" s="5">
        <v>292000</v>
      </c>
      <c r="M1005" s="2" t="s">
        <v>4597</v>
      </c>
      <c r="N1005" s="2" t="s">
        <v>4440</v>
      </c>
      <c r="O1005" s="7" t="s">
        <v>4598</v>
      </c>
      <c r="P1005" s="2" t="s">
        <v>647</v>
      </c>
      <c r="Q1005" s="2" t="s">
        <v>4599</v>
      </c>
      <c r="R1005" s="2">
        <v>55044</v>
      </c>
      <c r="S1005" s="2">
        <v>44.637290999999998</v>
      </c>
      <c r="T1005" s="2">
        <v>-93.218191000000004</v>
      </c>
      <c r="W1005" s="11"/>
      <c r="AC1005" s="2" t="s">
        <v>51</v>
      </c>
      <c r="AD1005" s="2">
        <f t="shared" si="16"/>
        <v>2024</v>
      </c>
    </row>
    <row r="1006" spans="1:31" hidden="1">
      <c r="A1006" s="2" t="s">
        <v>4554</v>
      </c>
      <c r="B1006" s="42">
        <v>45432</v>
      </c>
      <c r="C1006" s="2" t="s">
        <v>3687</v>
      </c>
      <c r="D1006" s="2" t="s">
        <v>528</v>
      </c>
      <c r="E1006" s="2" t="s">
        <v>66</v>
      </c>
      <c r="F1006" s="2" t="s">
        <v>34</v>
      </c>
      <c r="G1006" s="2" t="s">
        <v>4600</v>
      </c>
      <c r="H1006" s="2" t="s">
        <v>2079</v>
      </c>
      <c r="I1006" s="10">
        <v>4850000</v>
      </c>
      <c r="K1006" s="5"/>
      <c r="M1006" s="2" t="s">
        <v>3902</v>
      </c>
      <c r="N1006" s="2" t="s">
        <v>48</v>
      </c>
      <c r="O1006" s="7" t="s">
        <v>3090</v>
      </c>
      <c r="P1006" s="2" t="s">
        <v>2375</v>
      </c>
      <c r="Q1006" s="2" t="s">
        <v>3689</v>
      </c>
      <c r="R1006" s="2">
        <v>55420</v>
      </c>
      <c r="S1006" s="2">
        <v>44.857785999999997</v>
      </c>
      <c r="T1006" s="2">
        <v>-93.287079000000006</v>
      </c>
      <c r="W1006" s="11"/>
      <c r="AC1006" s="2" t="s">
        <v>51</v>
      </c>
      <c r="AD1006" s="2">
        <f t="shared" si="16"/>
        <v>2024</v>
      </c>
    </row>
    <row r="1007" spans="1:31" hidden="1">
      <c r="A1007" s="2" t="s">
        <v>4554</v>
      </c>
      <c r="B1007" s="42">
        <v>45442</v>
      </c>
      <c r="C1007" s="2" t="s">
        <v>4435</v>
      </c>
      <c r="D1007" s="2" t="s">
        <v>528</v>
      </c>
      <c r="E1007" s="2" t="s">
        <v>66</v>
      </c>
      <c r="F1007" s="2" t="s">
        <v>34</v>
      </c>
      <c r="G1007" s="2" t="s">
        <v>4601</v>
      </c>
      <c r="H1007" s="2" t="s">
        <v>2079</v>
      </c>
      <c r="I1007" s="11">
        <v>3000000</v>
      </c>
      <c r="K1007" s="5"/>
      <c r="M1007" s="2" t="s">
        <v>3902</v>
      </c>
      <c r="N1007" s="2" t="s">
        <v>48</v>
      </c>
      <c r="O1007" s="7" t="s">
        <v>3090</v>
      </c>
      <c r="P1007" s="2" t="s">
        <v>2375</v>
      </c>
      <c r="Q1007" s="2" t="s">
        <v>4019</v>
      </c>
      <c r="R1007" s="2">
        <v>55431</v>
      </c>
      <c r="S1007" s="2">
        <v>44.835746</v>
      </c>
      <c r="T1007" s="2">
        <v>-93.299826999999993</v>
      </c>
      <c r="W1007" s="11"/>
      <c r="AC1007" s="2" t="s">
        <v>51</v>
      </c>
      <c r="AD1007" s="2">
        <f t="shared" si="16"/>
        <v>2024</v>
      </c>
    </row>
    <row r="1008" spans="1:31" hidden="1">
      <c r="A1008" s="2" t="s">
        <v>4554</v>
      </c>
      <c r="B1008" s="42">
        <v>45448</v>
      </c>
      <c r="C1008" s="2" t="s">
        <v>4602</v>
      </c>
      <c r="D1008" s="2" t="s">
        <v>2360</v>
      </c>
      <c r="E1008" s="2" t="s">
        <v>99</v>
      </c>
      <c r="F1008" s="2" t="s">
        <v>34</v>
      </c>
      <c r="G1008" s="2" t="s">
        <v>4603</v>
      </c>
      <c r="H1008" s="2" t="s">
        <v>1024</v>
      </c>
      <c r="I1008" s="10">
        <v>20000000</v>
      </c>
      <c r="J1008" s="5">
        <v>150</v>
      </c>
      <c r="K1008" s="5"/>
      <c r="L1008" s="5">
        <v>140000</v>
      </c>
      <c r="M1008" s="2" t="s">
        <v>3902</v>
      </c>
      <c r="N1008" s="2" t="s">
        <v>48</v>
      </c>
      <c r="O1008" s="7" t="s">
        <v>4604</v>
      </c>
      <c r="P1008" s="2" t="s">
        <v>3667</v>
      </c>
      <c r="Q1008" s="2" t="s">
        <v>4605</v>
      </c>
      <c r="R1008" s="2">
        <v>55126</v>
      </c>
      <c r="S1008" s="2">
        <v>45.052379000000002</v>
      </c>
      <c r="T1008" s="2">
        <v>-93.130425000000002</v>
      </c>
      <c r="W1008" s="11"/>
      <c r="AC1008" s="2" t="s">
        <v>51</v>
      </c>
      <c r="AD1008" s="2">
        <f t="shared" si="16"/>
        <v>2024</v>
      </c>
      <c r="AE1008" s="2" t="s">
        <v>2319</v>
      </c>
    </row>
    <row r="1009" spans="1:31" hidden="1">
      <c r="A1009" s="2" t="s">
        <v>4554</v>
      </c>
      <c r="B1009" s="42">
        <v>45449</v>
      </c>
      <c r="C1009" s="2" t="s">
        <v>4606</v>
      </c>
      <c r="D1009" s="2" t="s">
        <v>111</v>
      </c>
      <c r="E1009" s="2" t="s">
        <v>112</v>
      </c>
      <c r="F1009" s="2" t="s">
        <v>34</v>
      </c>
      <c r="G1009" s="2" t="s">
        <v>4607</v>
      </c>
      <c r="H1009" s="2" t="s">
        <v>2834</v>
      </c>
      <c r="I1009" s="11"/>
      <c r="K1009" s="5"/>
      <c r="M1009" s="2" t="s">
        <v>2732</v>
      </c>
      <c r="N1009" s="2" t="s">
        <v>48</v>
      </c>
      <c r="O1009" s="2" t="s">
        <v>4608</v>
      </c>
      <c r="P1009" s="2" t="s">
        <v>3667</v>
      </c>
      <c r="Q1009" s="2" t="s">
        <v>4609</v>
      </c>
      <c r="R1009" s="2">
        <v>55902</v>
      </c>
      <c r="S1009" s="2">
        <v>44.018787000000003</v>
      </c>
      <c r="T1009" s="2">
        <v>-92.466177999999999</v>
      </c>
      <c r="U1009" s="2" t="s">
        <v>378</v>
      </c>
      <c r="W1009" s="11"/>
      <c r="AC1009" s="2" t="s">
        <v>120</v>
      </c>
      <c r="AD1009" s="2">
        <f t="shared" si="16"/>
        <v>2024</v>
      </c>
    </row>
    <row r="1010" spans="1:31" hidden="1">
      <c r="A1010" s="2" t="s">
        <v>4554</v>
      </c>
      <c r="B1010" s="42">
        <v>45449</v>
      </c>
      <c r="C1010" s="2" t="s">
        <v>4610</v>
      </c>
      <c r="D1010" s="2" t="s">
        <v>2113</v>
      </c>
      <c r="E1010" s="2" t="s">
        <v>99</v>
      </c>
      <c r="F1010" s="2" t="s">
        <v>34</v>
      </c>
      <c r="G1010" s="2" t="s">
        <v>4611</v>
      </c>
      <c r="H1010" s="2" t="s">
        <v>131</v>
      </c>
      <c r="I1010" s="54">
        <v>12286993</v>
      </c>
      <c r="J1010" s="5">
        <v>75</v>
      </c>
      <c r="K1010" s="5"/>
      <c r="M1010" s="2" t="s">
        <v>4612</v>
      </c>
      <c r="N1010" s="2" t="s">
        <v>48</v>
      </c>
      <c r="O1010" s="2" t="s">
        <v>114</v>
      </c>
      <c r="P1010" s="2" t="s">
        <v>658</v>
      </c>
      <c r="Q1010" s="2" t="s">
        <v>4613</v>
      </c>
      <c r="R1010" s="2">
        <v>55102</v>
      </c>
      <c r="S1010" s="2">
        <v>44.946106</v>
      </c>
      <c r="T1010" s="2">
        <v>-93.094076999999999</v>
      </c>
      <c r="U1010" s="2" t="s">
        <v>378</v>
      </c>
      <c r="V1010" s="2" t="s">
        <v>4614</v>
      </c>
      <c r="W1010" s="11">
        <f>1268000</f>
        <v>1268000</v>
      </c>
      <c r="AC1010" s="2" t="s">
        <v>51</v>
      </c>
      <c r="AD1010" s="2">
        <f t="shared" si="16"/>
        <v>2024</v>
      </c>
    </row>
    <row r="1011" spans="1:31" ht="18" hidden="1">
      <c r="A1011" s="2" t="s">
        <v>4554</v>
      </c>
      <c r="B1011" s="42">
        <v>45455</v>
      </c>
      <c r="C1011" s="2" t="s">
        <v>4615</v>
      </c>
      <c r="D1011" s="2" t="s">
        <v>65</v>
      </c>
      <c r="E1011" s="2" t="s">
        <v>66</v>
      </c>
      <c r="F1011" s="2" t="s">
        <v>34</v>
      </c>
      <c r="G1011" s="2" t="s">
        <v>4616</v>
      </c>
      <c r="H1011" s="2" t="s">
        <v>2108</v>
      </c>
      <c r="I1011" s="11">
        <v>596000000</v>
      </c>
      <c r="K1011" s="5"/>
      <c r="L1011" s="5">
        <v>600000</v>
      </c>
      <c r="M1011" s="2" t="s">
        <v>2109</v>
      </c>
      <c r="N1011" s="2" t="s">
        <v>37</v>
      </c>
      <c r="O1011" s="7" t="s">
        <v>4617</v>
      </c>
      <c r="P1011" s="2" t="s">
        <v>3667</v>
      </c>
      <c r="Q1011" s="197" t="s">
        <v>4618</v>
      </c>
      <c r="R1011" s="2">
        <v>55407</v>
      </c>
      <c r="S1011" s="2">
        <v>44.954582000000002</v>
      </c>
      <c r="T1011" s="2">
        <v>-93.261308999999997</v>
      </c>
      <c r="W1011" s="11"/>
      <c r="AC1011" s="2" t="s">
        <v>51</v>
      </c>
      <c r="AD1011" s="2">
        <f t="shared" si="16"/>
        <v>2024</v>
      </c>
    </row>
    <row r="1012" spans="1:31" hidden="1">
      <c r="A1012" s="2" t="s">
        <v>4554</v>
      </c>
      <c r="B1012" s="42">
        <v>45456</v>
      </c>
      <c r="C1012" s="2" t="s">
        <v>4619</v>
      </c>
      <c r="D1012" s="2" t="s">
        <v>1302</v>
      </c>
      <c r="E1012" s="2" t="s">
        <v>66</v>
      </c>
      <c r="F1012" s="2" t="s">
        <v>34</v>
      </c>
      <c r="G1012" s="2" t="s">
        <v>4620</v>
      </c>
      <c r="H1012" s="2" t="s">
        <v>4621</v>
      </c>
      <c r="I1012" s="11"/>
      <c r="K1012" s="5"/>
      <c r="L1012" s="5">
        <v>124000</v>
      </c>
      <c r="M1012" s="2" t="s">
        <v>4622</v>
      </c>
      <c r="N1012" s="2" t="s">
        <v>313</v>
      </c>
      <c r="O1012" s="7" t="s">
        <v>4623</v>
      </c>
      <c r="P1012" s="2" t="s">
        <v>3667</v>
      </c>
      <c r="Q1012" s="2" t="s">
        <v>4624</v>
      </c>
      <c r="R1012" s="2">
        <v>55427</v>
      </c>
      <c r="S1012" s="2">
        <v>44.991892999999997</v>
      </c>
      <c r="T1012" s="2">
        <v>-93.360478999999998</v>
      </c>
      <c r="W1012" s="11"/>
      <c r="AC1012" s="2" t="s">
        <v>51</v>
      </c>
      <c r="AD1012" s="2">
        <f t="shared" si="16"/>
        <v>2024</v>
      </c>
    </row>
    <row r="1013" spans="1:31" hidden="1">
      <c r="A1013" s="2" t="s">
        <v>4554</v>
      </c>
      <c r="B1013" s="68">
        <v>45460</v>
      </c>
      <c r="C1013" s="2" t="s">
        <v>4435</v>
      </c>
      <c r="D1013" s="2" t="s">
        <v>528</v>
      </c>
      <c r="E1013" s="2" t="s">
        <v>66</v>
      </c>
      <c r="F1013" s="2" t="s">
        <v>34</v>
      </c>
      <c r="G1013" s="2" t="s">
        <v>4625</v>
      </c>
      <c r="H1013" s="2" t="s">
        <v>2079</v>
      </c>
      <c r="I1013" s="36">
        <v>1450000</v>
      </c>
      <c r="J1013" s="35"/>
      <c r="K1013" s="5"/>
      <c r="M1013" s="2" t="s">
        <v>3902</v>
      </c>
      <c r="N1013" s="2" t="s">
        <v>48</v>
      </c>
      <c r="O1013" s="7" t="s">
        <v>3090</v>
      </c>
      <c r="P1013" s="2" t="s">
        <v>2375</v>
      </c>
      <c r="Q1013" s="2" t="s">
        <v>4437</v>
      </c>
      <c r="R1013" s="2">
        <v>55431</v>
      </c>
      <c r="S1013" s="2">
        <v>44.833905999999999</v>
      </c>
      <c r="T1013" s="2">
        <v>-93.301698000000002</v>
      </c>
      <c r="W1013" s="36"/>
      <c r="AC1013" s="2" t="s">
        <v>51</v>
      </c>
      <c r="AD1013" s="2">
        <f t="shared" si="16"/>
        <v>2024</v>
      </c>
    </row>
    <row r="1014" spans="1:31" hidden="1">
      <c r="A1014" s="2" t="s">
        <v>4554</v>
      </c>
      <c r="B1014" s="210">
        <v>45467</v>
      </c>
      <c r="C1014" s="2" t="s">
        <v>4626</v>
      </c>
      <c r="D1014" s="2" t="s">
        <v>145</v>
      </c>
      <c r="E1014" s="2" t="s">
        <v>66</v>
      </c>
      <c r="F1014" s="2" t="s">
        <v>34</v>
      </c>
      <c r="G1014" s="2" t="s">
        <v>4627</v>
      </c>
      <c r="H1014" s="2" t="s">
        <v>131</v>
      </c>
      <c r="I1014" s="10">
        <v>763000</v>
      </c>
      <c r="J1014" s="29">
        <v>40</v>
      </c>
      <c r="K1014" s="5"/>
      <c r="M1014" s="2" t="s">
        <v>2754</v>
      </c>
      <c r="N1014" s="2" t="s">
        <v>48</v>
      </c>
      <c r="O1014" s="7" t="s">
        <v>4628</v>
      </c>
      <c r="P1014" s="2" t="s">
        <v>2850</v>
      </c>
      <c r="Q1014" s="198" t="s">
        <v>4629</v>
      </c>
      <c r="R1014" s="2">
        <v>55427</v>
      </c>
      <c r="S1014" s="2">
        <v>45.028596</v>
      </c>
      <c r="T1014" s="2">
        <v>-93.376079000000004</v>
      </c>
      <c r="U1014" s="2" t="s">
        <v>378</v>
      </c>
      <c r="V1014" s="2" t="s">
        <v>1576</v>
      </c>
      <c r="W1014" s="227">
        <v>185000</v>
      </c>
      <c r="AC1014" s="2" t="s">
        <v>51</v>
      </c>
      <c r="AD1014" s="2">
        <f t="shared" si="16"/>
        <v>2024</v>
      </c>
    </row>
    <row r="1015" spans="1:31" ht="18" hidden="1">
      <c r="A1015" s="2" t="s">
        <v>4554</v>
      </c>
      <c r="B1015" s="42">
        <v>45470</v>
      </c>
      <c r="C1015" s="2" t="s">
        <v>39</v>
      </c>
      <c r="D1015" s="2" t="s">
        <v>415</v>
      </c>
      <c r="E1015" s="2" t="s">
        <v>952</v>
      </c>
      <c r="F1015" s="2" t="s">
        <v>34</v>
      </c>
      <c r="G1015" s="2" t="s">
        <v>4630</v>
      </c>
      <c r="H1015" s="2" t="s">
        <v>2108</v>
      </c>
      <c r="I1015" s="11">
        <v>228800000</v>
      </c>
      <c r="K1015" s="5"/>
      <c r="L1015" s="5">
        <v>215109</v>
      </c>
      <c r="M1015" s="2" t="s">
        <v>2109</v>
      </c>
      <c r="N1015" s="2" t="s">
        <v>37</v>
      </c>
      <c r="O1015" s="7" t="s">
        <v>4631</v>
      </c>
      <c r="P1015" s="2" t="s">
        <v>3667</v>
      </c>
      <c r="Q1015" s="197" t="s">
        <v>4632</v>
      </c>
      <c r="R1015" s="2">
        <v>56303</v>
      </c>
      <c r="S1015" s="2">
        <v>45.585492000000002</v>
      </c>
      <c r="T1015" s="2">
        <v>-94.205827999999997</v>
      </c>
      <c r="W1015" s="11"/>
      <c r="AC1015" s="2" t="s">
        <v>41</v>
      </c>
      <c r="AD1015" s="2">
        <f t="shared" si="16"/>
        <v>2024</v>
      </c>
    </row>
    <row r="1016" spans="1:31" hidden="1">
      <c r="A1016" s="2" t="s">
        <v>4554</v>
      </c>
      <c r="B1016" s="42">
        <v>45473</v>
      </c>
      <c r="C1016" s="2" t="s">
        <v>4633</v>
      </c>
      <c r="D1016" s="2" t="s">
        <v>841</v>
      </c>
      <c r="E1016" s="2" t="s">
        <v>842</v>
      </c>
      <c r="F1016" s="2" t="s">
        <v>34</v>
      </c>
      <c r="G1016" s="2" t="s">
        <v>4634</v>
      </c>
      <c r="H1016" s="2" t="s">
        <v>131</v>
      </c>
      <c r="I1016" s="11">
        <v>18000000</v>
      </c>
      <c r="J1016" s="5">
        <v>127</v>
      </c>
      <c r="K1016" s="5"/>
      <c r="M1016" s="2" t="s">
        <v>2754</v>
      </c>
      <c r="N1016" s="2" t="s">
        <v>48</v>
      </c>
      <c r="O1016" s="2" t="s">
        <v>114</v>
      </c>
      <c r="P1016" s="2" t="s">
        <v>658</v>
      </c>
      <c r="Q1016" s="2" t="s">
        <v>4635</v>
      </c>
      <c r="R1016" s="2">
        <v>55912</v>
      </c>
      <c r="S1016" s="2">
        <v>43.67604</v>
      </c>
      <c r="T1016" s="2">
        <v>-92.974485000000001</v>
      </c>
      <c r="U1016" s="2" t="s">
        <v>378</v>
      </c>
      <c r="V1016" s="2" t="s">
        <v>4636</v>
      </c>
      <c r="W1016" s="11">
        <v>200000</v>
      </c>
      <c r="Y1016" s="2" t="s">
        <v>4637</v>
      </c>
      <c r="AA1016" s="2" t="s">
        <v>4638</v>
      </c>
      <c r="AB1016" s="2" t="s">
        <v>423</v>
      </c>
      <c r="AC1016" s="2" t="s">
        <v>120</v>
      </c>
      <c r="AD1016" s="2">
        <f t="shared" si="16"/>
        <v>2024</v>
      </c>
    </row>
    <row r="1017" spans="1:31" hidden="1">
      <c r="A1017" s="2" t="s">
        <v>4639</v>
      </c>
      <c r="B1017" s="42">
        <v>45481</v>
      </c>
      <c r="C1017" s="2" t="s">
        <v>128</v>
      </c>
      <c r="D1017" s="2" t="s">
        <v>688</v>
      </c>
      <c r="E1017" s="2" t="s">
        <v>66</v>
      </c>
      <c r="F1017" s="66" t="s">
        <v>34</v>
      </c>
      <c r="G1017" s="2" t="s">
        <v>4640</v>
      </c>
      <c r="H1017" s="2" t="s">
        <v>131</v>
      </c>
      <c r="I1017" s="10">
        <v>145000000</v>
      </c>
      <c r="J1017" s="5">
        <v>182</v>
      </c>
      <c r="K1017" s="5"/>
      <c r="L1017" s="5">
        <v>227000</v>
      </c>
      <c r="M1017" s="2" t="s">
        <v>132</v>
      </c>
      <c r="N1017" s="2" t="s">
        <v>48</v>
      </c>
      <c r="O1017" s="2" t="s">
        <v>4641</v>
      </c>
      <c r="P1017" s="2" t="s">
        <v>647</v>
      </c>
      <c r="Q1017" s="2" t="s">
        <v>4642</v>
      </c>
      <c r="R1017" s="2">
        <v>55374</v>
      </c>
      <c r="S1017" s="2">
        <v>45.194420999999998</v>
      </c>
      <c r="T1017" s="2">
        <v>-93.528801000000001</v>
      </c>
      <c r="U1017" s="2" t="s">
        <v>378</v>
      </c>
      <c r="V1017" s="2" t="s">
        <v>4643</v>
      </c>
      <c r="W1017" s="11">
        <f>2300000+601350</f>
        <v>2901350</v>
      </c>
      <c r="AC1017" s="2" t="s">
        <v>51</v>
      </c>
      <c r="AD1017" s="2">
        <f t="shared" si="16"/>
        <v>2024</v>
      </c>
      <c r="AE1017" s="2" t="s">
        <v>2319</v>
      </c>
    </row>
    <row r="1018" spans="1:31" hidden="1">
      <c r="A1018" s="49" t="s">
        <v>4639</v>
      </c>
      <c r="B1018" s="42">
        <v>45481</v>
      </c>
      <c r="C1018" s="2" t="s">
        <v>4644</v>
      </c>
      <c r="D1018" s="2" t="s">
        <v>1051</v>
      </c>
      <c r="E1018" s="2" t="s">
        <v>66</v>
      </c>
      <c r="F1018" s="66" t="s">
        <v>34</v>
      </c>
      <c r="G1018" s="2" t="s">
        <v>4645</v>
      </c>
      <c r="H1018" s="2" t="s">
        <v>3531</v>
      </c>
      <c r="I1018" s="11"/>
      <c r="K1018" s="5"/>
      <c r="L1018" s="5">
        <v>87000</v>
      </c>
      <c r="M1018" s="2" t="s">
        <v>2624</v>
      </c>
      <c r="N1018" s="2" t="s">
        <v>103</v>
      </c>
      <c r="O1018" s="7" t="s">
        <v>4646</v>
      </c>
      <c r="P1018" s="2" t="s">
        <v>3667</v>
      </c>
      <c r="Q1018" s="2" t="s">
        <v>4647</v>
      </c>
      <c r="R1018" s="2">
        <v>55369</v>
      </c>
      <c r="S1018" s="2">
        <v>45.160597000000003</v>
      </c>
      <c r="T1018" s="2">
        <v>-93.504901000000004</v>
      </c>
      <c r="W1018" s="11"/>
      <c r="AC1018" s="2" t="s">
        <v>51</v>
      </c>
      <c r="AD1018" s="2">
        <f t="shared" si="16"/>
        <v>2024</v>
      </c>
    </row>
    <row r="1019" spans="1:31" ht="15.75" hidden="1">
      <c r="A1019" s="49" t="s">
        <v>4639</v>
      </c>
      <c r="B1019" s="42">
        <v>45485</v>
      </c>
      <c r="C1019" s="2" t="s">
        <v>4648</v>
      </c>
      <c r="D1019" s="2" t="s">
        <v>32</v>
      </c>
      <c r="E1019" s="2" t="s">
        <v>33</v>
      </c>
      <c r="F1019" s="66" t="s">
        <v>34</v>
      </c>
      <c r="G1019" s="2" t="s">
        <v>4649</v>
      </c>
      <c r="H1019" s="2" t="s">
        <v>131</v>
      </c>
      <c r="I1019" s="11">
        <v>3500000</v>
      </c>
      <c r="J1019" s="5">
        <v>18</v>
      </c>
      <c r="K1019" s="5"/>
      <c r="M1019" s="2" t="s">
        <v>4650</v>
      </c>
      <c r="N1019" s="2" t="s">
        <v>48</v>
      </c>
      <c r="O1019" s="7" t="s">
        <v>4651</v>
      </c>
      <c r="P1019" s="2" t="s">
        <v>285</v>
      </c>
      <c r="Q1019" s="199" t="s">
        <v>4652</v>
      </c>
      <c r="R1019" s="2">
        <v>56201</v>
      </c>
      <c r="S1019" s="2">
        <v>45.116802999999997</v>
      </c>
      <c r="T1019" s="2">
        <v>-95.087768999999994</v>
      </c>
      <c r="W1019" s="11"/>
      <c r="AC1019" s="2" t="s">
        <v>41</v>
      </c>
      <c r="AD1019" s="2">
        <f t="shared" si="16"/>
        <v>2024</v>
      </c>
    </row>
    <row r="1020" spans="1:31" hidden="1">
      <c r="A1020" s="49" t="s">
        <v>4639</v>
      </c>
      <c r="B1020" s="42">
        <v>45485</v>
      </c>
      <c r="C1020" s="2" t="s">
        <v>483</v>
      </c>
      <c r="D1020" s="2" t="s">
        <v>1741</v>
      </c>
      <c r="E1020" s="2" t="s">
        <v>1253</v>
      </c>
      <c r="F1020" s="66" t="s">
        <v>34</v>
      </c>
      <c r="G1020" s="2" t="s">
        <v>4653</v>
      </c>
      <c r="H1020" s="2" t="s">
        <v>131</v>
      </c>
      <c r="I1020" s="200">
        <v>3691360</v>
      </c>
      <c r="J1020" s="29"/>
      <c r="K1020" s="5"/>
      <c r="L1020" s="5">
        <v>66432</v>
      </c>
      <c r="M1020" s="2" t="s">
        <v>93</v>
      </c>
      <c r="N1020" s="2" t="s">
        <v>48</v>
      </c>
      <c r="O1020" s="2" t="s">
        <v>4654</v>
      </c>
      <c r="P1020" s="2" t="s">
        <v>647</v>
      </c>
      <c r="Q1020" s="183" t="s">
        <v>4655</v>
      </c>
      <c r="R1020" s="2">
        <v>55060</v>
      </c>
      <c r="S1020" s="2">
        <v>44.091473000000001</v>
      </c>
      <c r="T1020" s="2">
        <v>-93.252606</v>
      </c>
      <c r="W1020" s="10"/>
      <c r="AC1020" s="2" t="s">
        <v>120</v>
      </c>
      <c r="AD1020" s="2">
        <f t="shared" si="16"/>
        <v>2024</v>
      </c>
    </row>
    <row r="1021" spans="1:31" hidden="1">
      <c r="A1021" s="49" t="s">
        <v>4639</v>
      </c>
      <c r="B1021" s="42">
        <v>45488</v>
      </c>
      <c r="C1021" s="2" t="s">
        <v>3712</v>
      </c>
      <c r="D1021" s="2" t="s">
        <v>591</v>
      </c>
      <c r="E1021" s="2" t="s">
        <v>66</v>
      </c>
      <c r="F1021" s="66" t="s">
        <v>34</v>
      </c>
      <c r="G1021" s="2" t="s">
        <v>4656</v>
      </c>
      <c r="H1021" s="2" t="s">
        <v>1024</v>
      </c>
      <c r="I1021" s="10"/>
      <c r="K1021" s="5"/>
      <c r="L1021" s="5">
        <v>200000</v>
      </c>
      <c r="M1021" s="2" t="s">
        <v>3902</v>
      </c>
      <c r="N1021" s="2" t="s">
        <v>48</v>
      </c>
      <c r="O1021" s="7" t="s">
        <v>4657</v>
      </c>
      <c r="P1021" s="2" t="s">
        <v>285</v>
      </c>
      <c r="Q1021" s="2" t="s">
        <v>4658</v>
      </c>
      <c r="R1021" s="2">
        <v>55343</v>
      </c>
      <c r="S1021" s="2">
        <v>44.896436999999999</v>
      </c>
      <c r="T1021" s="2">
        <v>-93.405512999999999</v>
      </c>
      <c r="W1021" s="11"/>
      <c r="AC1021" s="2" t="s">
        <v>51</v>
      </c>
      <c r="AD1021" s="2">
        <f t="shared" si="16"/>
        <v>2024</v>
      </c>
    </row>
    <row r="1022" spans="1:31" hidden="1">
      <c r="A1022" s="2" t="s">
        <v>4639</v>
      </c>
      <c r="B1022" s="42">
        <v>45489</v>
      </c>
      <c r="C1022" s="2" t="s">
        <v>4659</v>
      </c>
      <c r="D1022" s="2" t="s">
        <v>340</v>
      </c>
      <c r="E1022" s="2" t="s">
        <v>66</v>
      </c>
      <c r="F1022" s="66" t="s">
        <v>34</v>
      </c>
      <c r="G1022" s="2" t="s">
        <v>4660</v>
      </c>
      <c r="H1022" s="2" t="s">
        <v>4661</v>
      </c>
      <c r="I1022" s="10"/>
      <c r="K1022" s="5"/>
      <c r="L1022" s="5">
        <v>25989</v>
      </c>
      <c r="M1022" s="2" t="s">
        <v>167</v>
      </c>
      <c r="N1022" s="2" t="s">
        <v>48</v>
      </c>
      <c r="O1022" s="7" t="s">
        <v>4662</v>
      </c>
      <c r="P1022" s="2" t="s">
        <v>3667</v>
      </c>
      <c r="Q1022" s="2" t="s">
        <v>4663</v>
      </c>
      <c r="R1022" s="2">
        <v>55446</v>
      </c>
      <c r="S1022" s="2">
        <v>45.020471999999998</v>
      </c>
      <c r="T1022" s="2">
        <v>-93.487740000000002</v>
      </c>
      <c r="W1022" s="11"/>
      <c r="AC1022" s="2" t="s">
        <v>51</v>
      </c>
      <c r="AD1022" s="2">
        <f t="shared" si="16"/>
        <v>2024</v>
      </c>
      <c r="AE1022" s="2" t="s">
        <v>2319</v>
      </c>
    </row>
    <row r="1023" spans="1:31" hidden="1">
      <c r="A1023" s="2" t="s">
        <v>4639</v>
      </c>
      <c r="B1023" s="42">
        <v>45489</v>
      </c>
      <c r="C1023" s="2" t="s">
        <v>4664</v>
      </c>
      <c r="D1023" s="2" t="s">
        <v>408</v>
      </c>
      <c r="E1023" s="2" t="s">
        <v>99</v>
      </c>
      <c r="F1023" s="66" t="s">
        <v>34</v>
      </c>
      <c r="G1023" s="2" t="s">
        <v>4665</v>
      </c>
      <c r="H1023" s="2" t="s">
        <v>4523</v>
      </c>
      <c r="I1023" s="11"/>
      <c r="K1023" s="5"/>
      <c r="L1023" s="5">
        <v>4500</v>
      </c>
      <c r="N1023" s="2" t="s">
        <v>2459</v>
      </c>
      <c r="O1023" s="2" t="s">
        <v>4666</v>
      </c>
      <c r="P1023" s="2" t="s">
        <v>4667</v>
      </c>
      <c r="Q1023" s="2" t="s">
        <v>4668</v>
      </c>
      <c r="R1023" s="2">
        <v>55109</v>
      </c>
      <c r="S1023" s="2">
        <v>45.022593000000001</v>
      </c>
      <c r="T1023" s="2">
        <v>-93.048727999999997</v>
      </c>
      <c r="W1023" s="5"/>
      <c r="AC1023" s="2" t="s">
        <v>51</v>
      </c>
      <c r="AD1023" s="2">
        <f t="shared" si="16"/>
        <v>2024</v>
      </c>
      <c r="AE1023" s="2" t="s">
        <v>2319</v>
      </c>
    </row>
    <row r="1024" spans="1:31" hidden="1">
      <c r="A1024" s="2" t="s">
        <v>4639</v>
      </c>
      <c r="B1024" s="42">
        <v>45492</v>
      </c>
      <c r="C1024" s="2" t="s">
        <v>442</v>
      </c>
      <c r="D1024" s="2" t="s">
        <v>1104</v>
      </c>
      <c r="E1024" s="2" t="s">
        <v>238</v>
      </c>
      <c r="F1024" s="2" t="s">
        <v>34</v>
      </c>
      <c r="G1024" s="2" t="s">
        <v>4669</v>
      </c>
      <c r="H1024" s="2" t="s">
        <v>3231</v>
      </c>
      <c r="I1024" s="11"/>
      <c r="K1024" s="5"/>
      <c r="L1024" s="5">
        <v>49500</v>
      </c>
      <c r="N1024" s="2" t="s">
        <v>253</v>
      </c>
      <c r="O1024" s="2" t="s">
        <v>4670</v>
      </c>
      <c r="P1024" s="2" t="s">
        <v>4671</v>
      </c>
      <c r="R1024" s="2">
        <v>56425</v>
      </c>
      <c r="S1024" s="2">
        <v>46.340741999999999</v>
      </c>
      <c r="T1024" s="2">
        <v>-94.320490000000007</v>
      </c>
      <c r="W1024" s="5"/>
      <c r="Y1024" s="2" t="s">
        <v>442</v>
      </c>
      <c r="Z1024" s="2" t="s">
        <v>875</v>
      </c>
      <c r="AA1024" s="2" t="s">
        <v>44</v>
      </c>
      <c r="AC1024" s="2" t="s">
        <v>41</v>
      </c>
      <c r="AD1024" s="2">
        <f t="shared" si="16"/>
        <v>2024</v>
      </c>
      <c r="AE1024" s="2" t="s">
        <v>2319</v>
      </c>
    </row>
    <row r="1025" spans="1:31" hidden="1">
      <c r="A1025" s="49" t="s">
        <v>4639</v>
      </c>
      <c r="B1025" s="42">
        <v>45495</v>
      </c>
      <c r="C1025" s="2" t="s">
        <v>4672</v>
      </c>
      <c r="D1025" s="2" t="s">
        <v>544</v>
      </c>
      <c r="E1025" s="2" t="s">
        <v>66</v>
      </c>
      <c r="F1025" s="66" t="s">
        <v>34</v>
      </c>
      <c r="G1025" s="2" t="s">
        <v>4673</v>
      </c>
      <c r="H1025" s="2" t="s">
        <v>2079</v>
      </c>
      <c r="I1025" s="11"/>
      <c r="K1025" s="5"/>
      <c r="L1025" s="5">
        <v>11000</v>
      </c>
      <c r="M1025" s="2" t="s">
        <v>1636</v>
      </c>
      <c r="N1025" s="2" t="s">
        <v>140</v>
      </c>
      <c r="O1025" s="2" t="s">
        <v>4674</v>
      </c>
      <c r="P1025" s="2" t="s">
        <v>3667</v>
      </c>
      <c r="Q1025" s="2" t="s">
        <v>4675</v>
      </c>
      <c r="R1025" s="2">
        <v>55436</v>
      </c>
      <c r="S1025" s="2">
        <v>44.904139999999998</v>
      </c>
      <c r="T1025" s="2">
        <v>-93.373157000000006</v>
      </c>
      <c r="W1025" s="11"/>
      <c r="Z1025" s="2" t="s">
        <v>4676</v>
      </c>
      <c r="AA1025" s="2" t="s">
        <v>4677</v>
      </c>
      <c r="AC1025" s="2" t="s">
        <v>51</v>
      </c>
      <c r="AD1025" s="2">
        <f t="shared" si="16"/>
        <v>2024</v>
      </c>
    </row>
    <row r="1026" spans="1:31" hidden="1">
      <c r="A1026" s="49" t="s">
        <v>4639</v>
      </c>
      <c r="B1026" s="42">
        <v>45495</v>
      </c>
      <c r="C1026" s="1" t="s">
        <v>4678</v>
      </c>
      <c r="D1026" s="2" t="s">
        <v>174</v>
      </c>
      <c r="E1026" s="2" t="s">
        <v>66</v>
      </c>
      <c r="F1026" s="66" t="s">
        <v>34</v>
      </c>
      <c r="G1026" s="2" t="s">
        <v>4679</v>
      </c>
      <c r="H1026" s="2" t="s">
        <v>131</v>
      </c>
      <c r="I1026" s="201">
        <v>3794384</v>
      </c>
      <c r="J1026" s="95">
        <v>22</v>
      </c>
      <c r="K1026" s="5"/>
      <c r="L1026" s="5">
        <v>26800</v>
      </c>
      <c r="M1026" s="2" t="s">
        <v>574</v>
      </c>
      <c r="N1026" s="2" t="s">
        <v>48</v>
      </c>
      <c r="O1026" s="2" t="s">
        <v>4680</v>
      </c>
      <c r="P1026" s="2" t="s">
        <v>4681</v>
      </c>
      <c r="Q1026" s="181" t="s">
        <v>4682</v>
      </c>
      <c r="R1026" s="2">
        <v>55445</v>
      </c>
      <c r="S1026" s="2">
        <v>45.115329000000003</v>
      </c>
      <c r="T1026" s="2">
        <v>-93.386215000000007</v>
      </c>
      <c r="U1026" s="2" t="s">
        <v>378</v>
      </c>
      <c r="V1026" s="2" t="s">
        <v>4683</v>
      </c>
      <c r="W1026" s="201">
        <f>640000+295719</f>
        <v>935719</v>
      </c>
      <c r="AC1026" s="2" t="s">
        <v>51</v>
      </c>
      <c r="AD1026" s="2">
        <f t="shared" si="16"/>
        <v>2024</v>
      </c>
    </row>
    <row r="1027" spans="1:31" hidden="1">
      <c r="A1027" s="49" t="s">
        <v>4639</v>
      </c>
      <c r="B1027" s="42">
        <v>45497</v>
      </c>
      <c r="C1027" s="2" t="s">
        <v>4684</v>
      </c>
      <c r="D1027" s="2" t="s">
        <v>1078</v>
      </c>
      <c r="E1027" s="2" t="s">
        <v>4447</v>
      </c>
      <c r="F1027" s="66" t="s">
        <v>34</v>
      </c>
      <c r="G1027" s="2" t="s">
        <v>4685</v>
      </c>
      <c r="H1027" s="2" t="s">
        <v>131</v>
      </c>
      <c r="I1027" s="11">
        <f>9000000+1250000</f>
        <v>10250000</v>
      </c>
      <c r="J1027" s="5">
        <v>12</v>
      </c>
      <c r="K1027" s="5"/>
      <c r="L1027" s="5">
        <v>35000</v>
      </c>
      <c r="M1027" s="2" t="s">
        <v>3902</v>
      </c>
      <c r="N1027" s="2" t="s">
        <v>48</v>
      </c>
      <c r="O1027" s="2" t="s">
        <v>4686</v>
      </c>
      <c r="P1027" s="2" t="s">
        <v>3703</v>
      </c>
      <c r="Q1027" s="2" t="s">
        <v>4687</v>
      </c>
      <c r="R1027" s="2">
        <v>55746</v>
      </c>
      <c r="S1027" s="2">
        <v>47.436072000000003</v>
      </c>
      <c r="T1027" s="2">
        <v>-92.928820000000002</v>
      </c>
      <c r="U1027" s="2" t="s">
        <v>378</v>
      </c>
      <c r="V1027" s="2" t="s">
        <v>4688</v>
      </c>
      <c r="W1027" s="11">
        <f>9000000+1250000</f>
        <v>10250000</v>
      </c>
      <c r="AC1027" s="2" t="s">
        <v>97</v>
      </c>
      <c r="AD1027" s="2">
        <f t="shared" si="16"/>
        <v>2024</v>
      </c>
    </row>
    <row r="1028" spans="1:31" hidden="1">
      <c r="A1028" s="49" t="s">
        <v>4639</v>
      </c>
      <c r="B1028" s="42">
        <v>45497</v>
      </c>
      <c r="C1028" s="2" t="s">
        <v>4689</v>
      </c>
      <c r="D1028" s="2" t="s">
        <v>4690</v>
      </c>
      <c r="E1028" s="2" t="s">
        <v>952</v>
      </c>
      <c r="F1028" s="66" t="s">
        <v>34</v>
      </c>
      <c r="G1028" s="2" t="s">
        <v>4691</v>
      </c>
      <c r="H1028" s="2" t="s">
        <v>131</v>
      </c>
      <c r="I1028" s="79">
        <v>1929601</v>
      </c>
      <c r="J1028" s="2">
        <v>6</v>
      </c>
      <c r="K1028" s="5"/>
      <c r="M1028" s="2" t="s">
        <v>93</v>
      </c>
      <c r="N1028" s="2" t="s">
        <v>48</v>
      </c>
      <c r="O1028" s="2" t="s">
        <v>4692</v>
      </c>
      <c r="P1028" s="2" t="s">
        <v>4693</v>
      </c>
      <c r="Q1028" s="181" t="s">
        <v>4694</v>
      </c>
      <c r="R1028" s="2">
        <v>56340</v>
      </c>
      <c r="S1028" s="2">
        <v>45.731278000000003</v>
      </c>
      <c r="T1028" s="2">
        <v>-94.486642000000003</v>
      </c>
      <c r="U1028" s="2" t="s">
        <v>378</v>
      </c>
      <c r="V1028" s="2" t="s">
        <v>4695</v>
      </c>
      <c r="W1028" s="79">
        <f>200000+120000</f>
        <v>320000</v>
      </c>
      <c r="AC1028" s="2" t="s">
        <v>41</v>
      </c>
      <c r="AD1028" s="2">
        <f t="shared" si="16"/>
        <v>2024</v>
      </c>
    </row>
    <row r="1029" spans="1:31" hidden="1">
      <c r="A1029" s="2" t="s">
        <v>4639</v>
      </c>
      <c r="B1029" s="42">
        <v>45498</v>
      </c>
      <c r="C1029" s="2" t="s">
        <v>4543</v>
      </c>
      <c r="D1029" s="2" t="s">
        <v>1501</v>
      </c>
      <c r="E1029" s="2" t="s">
        <v>677</v>
      </c>
      <c r="F1029" s="66" t="s">
        <v>34</v>
      </c>
      <c r="G1029" s="2" t="s">
        <v>4696</v>
      </c>
      <c r="H1029" s="2" t="s">
        <v>3210</v>
      </c>
      <c r="I1029" s="10">
        <v>3966060</v>
      </c>
      <c r="J1029" s="29"/>
      <c r="K1029" s="29"/>
      <c r="L1029" s="29">
        <v>26570</v>
      </c>
      <c r="N1029" s="2" t="s">
        <v>384</v>
      </c>
      <c r="O1029" s="2" t="s">
        <v>4697</v>
      </c>
      <c r="P1029" s="2" t="s">
        <v>4000</v>
      </c>
      <c r="Q1029" s="2" t="s">
        <v>4698</v>
      </c>
      <c r="R1029" s="2">
        <v>55433</v>
      </c>
      <c r="S1029" s="2">
        <v>45.140289000000003</v>
      </c>
      <c r="T1029" s="2">
        <v>-93.277469999999994</v>
      </c>
      <c r="W1029" s="29"/>
      <c r="AC1029" s="2" t="s">
        <v>51</v>
      </c>
      <c r="AD1029" s="2">
        <f t="shared" si="16"/>
        <v>2024</v>
      </c>
    </row>
    <row r="1030" spans="1:31" hidden="1">
      <c r="A1030" s="2" t="s">
        <v>4639</v>
      </c>
      <c r="B1030" s="42">
        <v>45498</v>
      </c>
      <c r="C1030" s="2" t="s">
        <v>4699</v>
      </c>
      <c r="D1030" s="2" t="s">
        <v>4700</v>
      </c>
      <c r="E1030" s="2" t="s">
        <v>66</v>
      </c>
      <c r="F1030" s="66" t="s">
        <v>34</v>
      </c>
      <c r="G1030" s="2" t="s">
        <v>4701</v>
      </c>
      <c r="H1030" s="2" t="s">
        <v>2079</v>
      </c>
      <c r="K1030" s="5"/>
      <c r="L1030" s="5">
        <v>11000</v>
      </c>
      <c r="M1030" s="2" t="s">
        <v>4702</v>
      </c>
      <c r="N1030" s="2" t="s">
        <v>4703</v>
      </c>
      <c r="O1030" s="2" t="s">
        <v>4704</v>
      </c>
      <c r="P1030" s="2" t="s">
        <v>4705</v>
      </c>
      <c r="Q1030" s="2" t="s">
        <v>4706</v>
      </c>
      <c r="R1030" s="2">
        <v>55401</v>
      </c>
      <c r="S1030" s="2">
        <v>44.998455999999997</v>
      </c>
      <c r="T1030" s="2">
        <v>-93.285640999999998</v>
      </c>
      <c r="W1030" s="5"/>
      <c r="AC1030" s="2" t="s">
        <v>51</v>
      </c>
      <c r="AD1030" s="2">
        <f t="shared" si="16"/>
        <v>2024</v>
      </c>
    </row>
    <row r="1031" spans="1:31" hidden="1">
      <c r="A1031" s="49" t="s">
        <v>4639</v>
      </c>
      <c r="B1031" s="42">
        <v>45508</v>
      </c>
      <c r="C1031" s="2" t="s">
        <v>4707</v>
      </c>
      <c r="D1031" s="2" t="s">
        <v>40</v>
      </c>
      <c r="E1031" s="2" t="s">
        <v>395</v>
      </c>
      <c r="F1031" s="66" t="s">
        <v>34</v>
      </c>
      <c r="G1031" s="2" t="s">
        <v>4708</v>
      </c>
      <c r="H1031" s="2" t="s">
        <v>131</v>
      </c>
      <c r="I1031" s="226">
        <v>9510000</v>
      </c>
      <c r="J1031" s="5">
        <v>11</v>
      </c>
      <c r="K1031" s="5">
        <v>63</v>
      </c>
      <c r="L1031" s="5">
        <f>25000+2500</f>
        <v>27500</v>
      </c>
      <c r="M1031" s="2" t="s">
        <v>4709</v>
      </c>
      <c r="N1031" s="2" t="s">
        <v>48</v>
      </c>
      <c r="O1031" s="7" t="s">
        <v>4710</v>
      </c>
      <c r="P1031" s="7" t="s">
        <v>4711</v>
      </c>
      <c r="R1031" s="2">
        <v>56304</v>
      </c>
      <c r="S1031" s="2">
        <v>45.530414999999998</v>
      </c>
      <c r="T1031" s="2">
        <v>-94.057184000000007</v>
      </c>
      <c r="U1031" s="2" t="s">
        <v>378</v>
      </c>
      <c r="V1031" s="2" t="s">
        <v>1576</v>
      </c>
      <c r="W1031" s="226">
        <v>175000</v>
      </c>
      <c r="AC1031" s="2" t="s">
        <v>41</v>
      </c>
      <c r="AD1031" s="2">
        <f t="shared" si="16"/>
        <v>2024</v>
      </c>
    </row>
    <row r="1032" spans="1:31" hidden="1">
      <c r="A1032" s="49" t="s">
        <v>4639</v>
      </c>
      <c r="B1032" s="42">
        <v>45510</v>
      </c>
      <c r="C1032" s="2" t="s">
        <v>4712</v>
      </c>
      <c r="D1032" s="2" t="s">
        <v>528</v>
      </c>
      <c r="E1032" s="2" t="s">
        <v>66</v>
      </c>
      <c r="F1032" s="66" t="s">
        <v>34</v>
      </c>
      <c r="G1032" s="2" t="s">
        <v>4713</v>
      </c>
      <c r="H1032" s="2" t="s">
        <v>2079</v>
      </c>
      <c r="I1032" s="139">
        <v>3621764</v>
      </c>
      <c r="J1032" s="5">
        <f>275-230</f>
        <v>45</v>
      </c>
      <c r="K1032" s="5"/>
      <c r="L1032" s="5">
        <f>67000-45000</f>
        <v>22000</v>
      </c>
      <c r="M1032" s="2" t="s">
        <v>3487</v>
      </c>
      <c r="N1032" s="2" t="s">
        <v>86</v>
      </c>
      <c r="O1032" s="2" t="s">
        <v>4714</v>
      </c>
      <c r="P1032" s="2" t="s">
        <v>3667</v>
      </c>
      <c r="Q1032" s="2" t="s">
        <v>4715</v>
      </c>
      <c r="R1032" s="2">
        <v>55437</v>
      </c>
      <c r="S1032" s="2">
        <v>44.857162000000002</v>
      </c>
      <c r="T1032" s="2">
        <v>-93.352101000000005</v>
      </c>
      <c r="W1032" s="10"/>
      <c r="AC1032" s="2" t="s">
        <v>51</v>
      </c>
      <c r="AD1032" s="2">
        <f t="shared" si="16"/>
        <v>2024</v>
      </c>
    </row>
    <row r="1033" spans="1:31" hidden="1">
      <c r="A1033" s="49" t="s">
        <v>4639</v>
      </c>
      <c r="B1033" s="42">
        <v>45510</v>
      </c>
      <c r="C1033" s="2" t="s">
        <v>4716</v>
      </c>
      <c r="D1033" s="2" t="s">
        <v>65</v>
      </c>
      <c r="E1033" s="2" t="s">
        <v>66</v>
      </c>
      <c r="F1033" s="66" t="s">
        <v>34</v>
      </c>
      <c r="G1033" s="2" t="s">
        <v>4717</v>
      </c>
      <c r="H1033" s="2" t="s">
        <v>1359</v>
      </c>
      <c r="I1033" s="200"/>
      <c r="K1033" s="5"/>
      <c r="M1033" s="2" t="s">
        <v>3552</v>
      </c>
      <c r="N1033" s="2" t="s">
        <v>86</v>
      </c>
      <c r="O1033" s="2" t="s">
        <v>4718</v>
      </c>
      <c r="P1033" s="2" t="s">
        <v>3667</v>
      </c>
      <c r="Q1033" s="188" t="s">
        <v>4719</v>
      </c>
      <c r="R1033" s="2">
        <v>55401</v>
      </c>
      <c r="S1033" s="2">
        <v>44.992595999999999</v>
      </c>
      <c r="T1033" s="2">
        <v>-93.256052999999994</v>
      </c>
      <c r="W1033" s="11"/>
      <c r="AC1033" s="2" t="s">
        <v>51</v>
      </c>
      <c r="AD1033" s="2">
        <f t="shared" si="16"/>
        <v>2024</v>
      </c>
    </row>
    <row r="1034" spans="1:31" hidden="1">
      <c r="A1034" s="49" t="s">
        <v>4639</v>
      </c>
      <c r="B1034" s="42">
        <v>45519</v>
      </c>
      <c r="C1034" s="2" t="s">
        <v>4720</v>
      </c>
      <c r="D1034" s="2" t="s">
        <v>340</v>
      </c>
      <c r="E1034" s="2" t="s">
        <v>66</v>
      </c>
      <c r="F1034" s="66" t="s">
        <v>34</v>
      </c>
      <c r="G1034" s="2" t="s">
        <v>4721</v>
      </c>
      <c r="H1034" s="2" t="s">
        <v>2834</v>
      </c>
      <c r="I1034" s="200"/>
      <c r="K1034" s="5"/>
      <c r="M1034" s="2" t="s">
        <v>167</v>
      </c>
      <c r="N1034" s="2" t="s">
        <v>48</v>
      </c>
      <c r="O1034" s="2" t="s">
        <v>4722</v>
      </c>
      <c r="P1034" s="2" t="s">
        <v>3667</v>
      </c>
      <c r="Q1034" s="2" t="s">
        <v>4723</v>
      </c>
      <c r="R1034" s="2">
        <v>55447</v>
      </c>
      <c r="S1034" s="2">
        <v>45.022961000000002</v>
      </c>
      <c r="T1034" s="2">
        <v>-93.455568</v>
      </c>
      <c r="W1034" s="10"/>
      <c r="AC1034" s="2" t="s">
        <v>51</v>
      </c>
      <c r="AD1034" s="2">
        <f t="shared" si="16"/>
        <v>2024</v>
      </c>
    </row>
    <row r="1035" spans="1:31" hidden="1">
      <c r="A1035" s="49" t="s">
        <v>4639</v>
      </c>
      <c r="B1035" s="42">
        <v>45519</v>
      </c>
      <c r="C1035" s="2" t="s">
        <v>442</v>
      </c>
      <c r="D1035" s="2" t="s">
        <v>800</v>
      </c>
      <c r="E1035" s="2" t="s">
        <v>44</v>
      </c>
      <c r="F1035" s="66" t="s">
        <v>34</v>
      </c>
      <c r="G1035" s="2" t="s">
        <v>4724</v>
      </c>
      <c r="H1035" s="2" t="s">
        <v>3231</v>
      </c>
      <c r="I1035" s="11"/>
      <c r="J1035" s="5">
        <v>180</v>
      </c>
      <c r="K1035" s="5"/>
      <c r="L1035" s="5">
        <v>225000</v>
      </c>
      <c r="N1035" s="2" t="s">
        <v>253</v>
      </c>
      <c r="O1035" s="2" t="s">
        <v>4725</v>
      </c>
      <c r="P1035" s="2" t="s">
        <v>1956</v>
      </c>
      <c r="Q1035" s="2" t="s">
        <v>4726</v>
      </c>
      <c r="R1035" s="2">
        <v>55129</v>
      </c>
      <c r="S1035" s="2">
        <v>44.945186999999997</v>
      </c>
      <c r="T1035" s="2">
        <v>-92.883088000000001</v>
      </c>
      <c r="W1035" s="11"/>
      <c r="AC1035" s="2" t="s">
        <v>51</v>
      </c>
      <c r="AD1035" s="2">
        <f t="shared" si="16"/>
        <v>2024</v>
      </c>
    </row>
    <row r="1036" spans="1:31" hidden="1">
      <c r="A1036" s="2" t="s">
        <v>4639</v>
      </c>
      <c r="B1036" s="42">
        <v>45519</v>
      </c>
      <c r="C1036" s="2" t="s">
        <v>4727</v>
      </c>
      <c r="D1036" s="2" t="s">
        <v>578</v>
      </c>
      <c r="E1036" s="2" t="s">
        <v>112</v>
      </c>
      <c r="F1036" s="66" t="s">
        <v>34</v>
      </c>
      <c r="G1036" s="2" t="s">
        <v>4728</v>
      </c>
      <c r="H1036" s="2" t="s">
        <v>2159</v>
      </c>
      <c r="I1036" s="140">
        <v>100000000</v>
      </c>
      <c r="J1036" s="29">
        <v>22</v>
      </c>
      <c r="K1036" s="5"/>
      <c r="L1036" s="5">
        <v>70000</v>
      </c>
      <c r="M1036" s="2" t="s">
        <v>2336</v>
      </c>
      <c r="N1036" s="2" t="s">
        <v>86</v>
      </c>
      <c r="O1036" s="2" t="s">
        <v>4729</v>
      </c>
      <c r="P1036" s="2" t="s">
        <v>4730</v>
      </c>
      <c r="Q1036" s="2" t="s">
        <v>4731</v>
      </c>
      <c r="R1036" s="2">
        <v>55976</v>
      </c>
      <c r="S1036" s="2">
        <v>43.884346000000001</v>
      </c>
      <c r="T1036" s="2">
        <v>-92.503743999999998</v>
      </c>
      <c r="U1036" s="2" t="s">
        <v>378</v>
      </c>
      <c r="V1036" s="2" t="s">
        <v>287</v>
      </c>
      <c r="W1036" s="10">
        <v>1055000</v>
      </c>
      <c r="AC1036" s="2" t="s">
        <v>120</v>
      </c>
      <c r="AD1036" s="2">
        <f t="shared" si="16"/>
        <v>2024</v>
      </c>
      <c r="AE1036" s="2" t="s">
        <v>2319</v>
      </c>
    </row>
    <row r="1037" spans="1:31" hidden="1">
      <c r="A1037" s="49" t="s">
        <v>4639</v>
      </c>
      <c r="B1037" s="42">
        <v>45521</v>
      </c>
      <c r="C1037" s="2" t="s">
        <v>4732</v>
      </c>
      <c r="D1037" s="2" t="s">
        <v>111</v>
      </c>
      <c r="E1037" s="2" t="s">
        <v>112</v>
      </c>
      <c r="F1037" s="66" t="s">
        <v>34</v>
      </c>
      <c r="G1037" s="2" t="s">
        <v>4733</v>
      </c>
      <c r="H1037" s="2" t="s">
        <v>1359</v>
      </c>
      <c r="I1037" s="200"/>
      <c r="K1037" s="5"/>
      <c r="N1037" s="2" t="s">
        <v>384</v>
      </c>
      <c r="O1037" s="2" t="s">
        <v>4734</v>
      </c>
      <c r="P1037" s="2" t="s">
        <v>4511</v>
      </c>
      <c r="Q1037" s="2" t="s">
        <v>4735</v>
      </c>
      <c r="R1037" s="2">
        <v>55906</v>
      </c>
      <c r="S1037" s="2">
        <v>44.057111999999996</v>
      </c>
      <c r="T1037" s="2">
        <v>-92.460331999999994</v>
      </c>
      <c r="W1037" s="11"/>
      <c r="AC1037" s="2" t="s">
        <v>120</v>
      </c>
      <c r="AD1037" s="2">
        <f t="shared" si="16"/>
        <v>2024</v>
      </c>
    </row>
    <row r="1038" spans="1:31" hidden="1">
      <c r="A1038" s="49" t="s">
        <v>4639</v>
      </c>
      <c r="B1038" s="42">
        <v>45523</v>
      </c>
      <c r="C1038" s="2" t="s">
        <v>4736</v>
      </c>
      <c r="D1038" s="2" t="s">
        <v>174</v>
      </c>
      <c r="E1038" s="2" t="s">
        <v>66</v>
      </c>
      <c r="F1038" s="66" t="s">
        <v>34</v>
      </c>
      <c r="G1038" s="2" t="s">
        <v>4737</v>
      </c>
      <c r="H1038" s="2" t="s">
        <v>4360</v>
      </c>
      <c r="I1038" s="200"/>
      <c r="K1038" s="5"/>
      <c r="L1038" s="5">
        <v>25000</v>
      </c>
      <c r="N1038" s="2" t="s">
        <v>313</v>
      </c>
      <c r="O1038" s="2" t="s">
        <v>4738</v>
      </c>
      <c r="P1038" s="2" t="s">
        <v>3667</v>
      </c>
      <c r="Q1038" s="2" t="s">
        <v>4739</v>
      </c>
      <c r="R1038" s="2">
        <v>55445</v>
      </c>
      <c r="S1038" s="2">
        <v>45.120871000000001</v>
      </c>
      <c r="T1038" s="2">
        <v>-93.379322999999999</v>
      </c>
      <c r="W1038" s="11"/>
      <c r="AC1038" s="2" t="s">
        <v>51</v>
      </c>
      <c r="AD1038" s="2">
        <f t="shared" si="16"/>
        <v>2024</v>
      </c>
    </row>
    <row r="1039" spans="1:31" ht="15.75" hidden="1">
      <c r="A1039" s="49" t="s">
        <v>4639</v>
      </c>
      <c r="B1039" s="106">
        <v>45530</v>
      </c>
      <c r="C1039" s="64" t="s">
        <v>4740</v>
      </c>
      <c r="D1039" s="2" t="s">
        <v>2448</v>
      </c>
      <c r="E1039" s="2" t="s">
        <v>3825</v>
      </c>
      <c r="F1039" s="66" t="s">
        <v>34</v>
      </c>
      <c r="G1039" s="2" t="s">
        <v>4741</v>
      </c>
      <c r="H1039" s="2" t="s">
        <v>3231</v>
      </c>
      <c r="I1039" s="10"/>
      <c r="K1039" s="5">
        <v>60</v>
      </c>
      <c r="L1039" s="5">
        <v>33000</v>
      </c>
      <c r="M1039" s="2" t="s">
        <v>496</v>
      </c>
      <c r="N1039" s="2" t="s">
        <v>48</v>
      </c>
      <c r="O1039" s="2" t="s">
        <v>4742</v>
      </c>
      <c r="P1039" s="2" t="s">
        <v>4743</v>
      </c>
      <c r="Q1039" s="2" t="s">
        <v>4744</v>
      </c>
      <c r="R1039" s="2">
        <v>55371</v>
      </c>
      <c r="S1039" s="2">
        <v>45.552629000000003</v>
      </c>
      <c r="T1039" s="2">
        <v>-93.590761000000001</v>
      </c>
      <c r="W1039" s="11"/>
      <c r="AC1039" s="2" t="s">
        <v>41</v>
      </c>
      <c r="AD1039" s="2">
        <f t="shared" si="16"/>
        <v>2024</v>
      </c>
    </row>
    <row r="1040" spans="1:31" hidden="1">
      <c r="A1040" s="2" t="s">
        <v>4639</v>
      </c>
      <c r="B1040" s="42">
        <v>45531</v>
      </c>
      <c r="C1040" s="2" t="s">
        <v>4745</v>
      </c>
      <c r="D1040" s="2" t="s">
        <v>203</v>
      </c>
      <c r="E1040" s="2" t="s">
        <v>74</v>
      </c>
      <c r="F1040" s="66" t="s">
        <v>34</v>
      </c>
      <c r="G1040" s="2" t="s">
        <v>4746</v>
      </c>
      <c r="H1040" s="2" t="s">
        <v>2422</v>
      </c>
      <c r="I1040" s="140"/>
      <c r="J1040" s="29"/>
      <c r="K1040" s="5"/>
      <c r="N1040" s="2" t="s">
        <v>1462</v>
      </c>
      <c r="O1040" s="2" t="s">
        <v>4747</v>
      </c>
      <c r="P1040" s="2" t="s">
        <v>3667</v>
      </c>
      <c r="Q1040" s="157" t="s">
        <v>4748</v>
      </c>
      <c r="R1040" s="2">
        <v>55121</v>
      </c>
      <c r="S1040" s="2">
        <v>44.83193</v>
      </c>
      <c r="T1040" s="2">
        <v>-93.195459999999997</v>
      </c>
      <c r="W1040" s="10"/>
      <c r="AC1040" s="2" t="s">
        <v>51</v>
      </c>
      <c r="AD1040" s="2">
        <f t="shared" si="16"/>
        <v>2024</v>
      </c>
      <c r="AE1040" s="2" t="s">
        <v>2319</v>
      </c>
    </row>
    <row r="1041" spans="1:31" hidden="1">
      <c r="A1041" s="49" t="s">
        <v>4639</v>
      </c>
      <c r="B1041" s="42">
        <v>45539</v>
      </c>
      <c r="C1041" s="2" t="s">
        <v>4749</v>
      </c>
      <c r="D1041" s="2" t="s">
        <v>688</v>
      </c>
      <c r="E1041" s="2" t="s">
        <v>66</v>
      </c>
      <c r="F1041" s="66" t="s">
        <v>34</v>
      </c>
      <c r="G1041" s="2" t="s">
        <v>4750</v>
      </c>
      <c r="H1041" s="2" t="s">
        <v>131</v>
      </c>
      <c r="I1041" s="200"/>
      <c r="K1041" s="5"/>
      <c r="M1041" s="2" t="s">
        <v>2799</v>
      </c>
      <c r="N1041" s="2" t="s">
        <v>48</v>
      </c>
      <c r="O1041" s="2" t="s">
        <v>4751</v>
      </c>
      <c r="P1041" s="2" t="s">
        <v>4752</v>
      </c>
      <c r="Q1041" s="2" t="s">
        <v>4753</v>
      </c>
      <c r="R1041" s="2">
        <v>55374</v>
      </c>
      <c r="S1041" s="2">
        <v>45.199407999999998</v>
      </c>
      <c r="T1041" s="2">
        <v>-93.530896999999996</v>
      </c>
      <c r="W1041" s="11"/>
      <c r="AC1041" s="2" t="s">
        <v>51</v>
      </c>
      <c r="AD1041" s="2">
        <f t="shared" si="16"/>
        <v>2024</v>
      </c>
    </row>
    <row r="1042" spans="1:31" hidden="1">
      <c r="A1042" s="49" t="s">
        <v>4639</v>
      </c>
      <c r="B1042" s="42">
        <v>45540</v>
      </c>
      <c r="C1042" s="2" t="s">
        <v>4754</v>
      </c>
      <c r="D1042" s="2" t="s">
        <v>4755</v>
      </c>
      <c r="E1042" s="2" t="s">
        <v>4756</v>
      </c>
      <c r="F1042" s="66" t="s">
        <v>34</v>
      </c>
      <c r="G1042" s="2" t="s">
        <v>4757</v>
      </c>
      <c r="H1042" s="2" t="s">
        <v>131</v>
      </c>
      <c r="I1042" s="95">
        <v>2300000</v>
      </c>
      <c r="K1042" s="5"/>
      <c r="L1042" s="5">
        <v>10000</v>
      </c>
      <c r="N1042" s="2" t="s">
        <v>762</v>
      </c>
      <c r="O1042" s="2" t="s">
        <v>4758</v>
      </c>
      <c r="P1042" s="2" t="s">
        <v>4730</v>
      </c>
      <c r="Q1042" s="2" t="s">
        <v>4759</v>
      </c>
      <c r="R1042" s="2">
        <v>56270</v>
      </c>
      <c r="S1042" s="2">
        <v>44.533307999999998</v>
      </c>
      <c r="T1042" s="2">
        <v>-94.996797999999998</v>
      </c>
      <c r="U1042" s="2" t="s">
        <v>378</v>
      </c>
      <c r="V1042" s="2" t="s">
        <v>4760</v>
      </c>
      <c r="W1042" s="11">
        <v>1500000</v>
      </c>
      <c r="AC1042" s="2" t="s">
        <v>120</v>
      </c>
      <c r="AD1042" s="2">
        <f t="shared" si="16"/>
        <v>2024</v>
      </c>
    </row>
    <row r="1043" spans="1:31" hidden="1">
      <c r="A1043" s="49" t="s">
        <v>4639</v>
      </c>
      <c r="B1043" s="42">
        <v>45543</v>
      </c>
      <c r="C1043" s="2" t="s">
        <v>4761</v>
      </c>
      <c r="D1043" s="2" t="s">
        <v>3397</v>
      </c>
      <c r="E1043" s="2" t="s">
        <v>3388</v>
      </c>
      <c r="F1043" s="66" t="s">
        <v>34</v>
      </c>
      <c r="G1043" s="2" t="s">
        <v>4762</v>
      </c>
      <c r="I1043" s="200"/>
      <c r="J1043" s="5">
        <v>70</v>
      </c>
      <c r="K1043" s="5"/>
      <c r="N1043" s="2" t="s">
        <v>4763</v>
      </c>
      <c r="O1043" s="2" t="s">
        <v>4764</v>
      </c>
      <c r="P1043" s="2" t="s">
        <v>4765</v>
      </c>
      <c r="R1043" s="2">
        <v>55744</v>
      </c>
      <c r="S1043" s="2">
        <v>47.234577000000002</v>
      </c>
      <c r="T1043" s="2">
        <v>-93.507034000000004</v>
      </c>
      <c r="W1043" s="11"/>
      <c r="AC1043" s="2" t="s">
        <v>97</v>
      </c>
      <c r="AD1043" s="2">
        <f t="shared" si="16"/>
        <v>2024</v>
      </c>
    </row>
    <row r="1044" spans="1:31" hidden="1">
      <c r="A1044" s="49" t="s">
        <v>4639</v>
      </c>
      <c r="B1044" s="42">
        <v>45543</v>
      </c>
      <c r="C1044" s="2" t="s">
        <v>3106</v>
      </c>
      <c r="D1044" s="2" t="s">
        <v>1713</v>
      </c>
      <c r="E1044" s="2" t="s">
        <v>952</v>
      </c>
      <c r="F1044" s="66" t="s">
        <v>34</v>
      </c>
      <c r="G1044" s="2" t="s">
        <v>4766</v>
      </c>
      <c r="H1044" s="2" t="s">
        <v>131</v>
      </c>
      <c r="I1044" s="11">
        <v>169700000</v>
      </c>
      <c r="J1044" s="5">
        <v>175</v>
      </c>
      <c r="K1044" s="5"/>
      <c r="L1044" s="5">
        <v>190000</v>
      </c>
      <c r="M1044" s="2" t="s">
        <v>2336</v>
      </c>
      <c r="N1044" s="2" t="s">
        <v>86</v>
      </c>
      <c r="O1044" s="2" t="s">
        <v>4767</v>
      </c>
      <c r="P1044" s="2" t="s">
        <v>1327</v>
      </c>
      <c r="R1044" s="2">
        <v>56377</v>
      </c>
      <c r="S1044" s="2">
        <v>45.621630000000003</v>
      </c>
      <c r="T1044" s="2">
        <v>-94.206940000000003</v>
      </c>
      <c r="U1044" s="2" t="s">
        <v>378</v>
      </c>
      <c r="V1044" s="2" t="s">
        <v>4768</v>
      </c>
      <c r="W1044" s="11">
        <f>2000000+52000000+10000000+393528</f>
        <v>64393528</v>
      </c>
      <c r="AC1044" s="2" t="s">
        <v>41</v>
      </c>
      <c r="AD1044" s="2">
        <f t="shared" si="16"/>
        <v>2024</v>
      </c>
    </row>
    <row r="1045" spans="1:31" hidden="1">
      <c r="A1045" s="49" t="s">
        <v>4639</v>
      </c>
      <c r="B1045" s="42">
        <v>45544</v>
      </c>
      <c r="C1045" s="2" t="s">
        <v>3508</v>
      </c>
      <c r="D1045" s="2" t="s">
        <v>528</v>
      </c>
      <c r="E1045" s="2" t="s">
        <v>66</v>
      </c>
      <c r="F1045" s="66" t="s">
        <v>34</v>
      </c>
      <c r="G1045" s="2" t="s">
        <v>4769</v>
      </c>
      <c r="H1045" s="2" t="s">
        <v>2079</v>
      </c>
      <c r="I1045" s="200"/>
      <c r="J1045" s="5">
        <v>75</v>
      </c>
      <c r="K1045" s="5"/>
      <c r="L1045" s="5">
        <v>14000</v>
      </c>
      <c r="M1045" s="2" t="s">
        <v>1636</v>
      </c>
      <c r="N1045" s="2" t="s">
        <v>140</v>
      </c>
      <c r="O1045" s="2" t="s">
        <v>4770</v>
      </c>
      <c r="P1045" s="2" t="s">
        <v>3667</v>
      </c>
      <c r="Q1045" s="181" t="s">
        <v>4771</v>
      </c>
      <c r="R1045" s="2">
        <v>55437</v>
      </c>
      <c r="S1045" s="2">
        <v>44.849760000000003</v>
      </c>
      <c r="T1045" s="2">
        <v>-93.383166000000003</v>
      </c>
      <c r="W1045" s="11"/>
      <c r="AC1045" s="2" t="s">
        <v>51</v>
      </c>
      <c r="AD1045" s="2">
        <f t="shared" si="16"/>
        <v>2024</v>
      </c>
    </row>
    <row r="1046" spans="1:31" hidden="1">
      <c r="A1046" s="49" t="s">
        <v>4639</v>
      </c>
      <c r="B1046" s="42">
        <v>45545</v>
      </c>
      <c r="C1046" s="2" t="s">
        <v>4772</v>
      </c>
      <c r="D1046" s="2" t="s">
        <v>3243</v>
      </c>
      <c r="E1046" s="2" t="s">
        <v>74</v>
      </c>
      <c r="F1046" s="66" t="s">
        <v>34</v>
      </c>
      <c r="G1046" s="2" t="s">
        <v>4773</v>
      </c>
      <c r="H1046" s="2" t="s">
        <v>131</v>
      </c>
      <c r="I1046" s="200"/>
      <c r="K1046" s="5"/>
      <c r="M1046" s="2" t="s">
        <v>4290</v>
      </c>
      <c r="N1046" s="2" t="s">
        <v>48</v>
      </c>
      <c r="O1046" s="2" t="s">
        <v>4774</v>
      </c>
      <c r="P1046" s="2" t="s">
        <v>3667</v>
      </c>
      <c r="Q1046" s="181" t="s">
        <v>3624</v>
      </c>
      <c r="R1046" s="2">
        <v>55068</v>
      </c>
      <c r="S1046" s="2">
        <v>44.764335000000003</v>
      </c>
      <c r="T1046" s="2">
        <v>-93.039353000000006</v>
      </c>
      <c r="W1046" s="11"/>
      <c r="AC1046" s="2" t="s">
        <v>51</v>
      </c>
      <c r="AD1046" s="2">
        <f t="shared" si="16"/>
        <v>2024</v>
      </c>
    </row>
    <row r="1047" spans="1:31" hidden="1">
      <c r="A1047" s="49" t="s">
        <v>4639</v>
      </c>
      <c r="B1047" s="42">
        <v>45545</v>
      </c>
      <c r="C1047" s="2" t="s">
        <v>2926</v>
      </c>
      <c r="D1047" s="2" t="s">
        <v>65</v>
      </c>
      <c r="E1047" s="2" t="s">
        <v>66</v>
      </c>
      <c r="F1047" s="66" t="s">
        <v>34</v>
      </c>
      <c r="G1047" s="2" t="s">
        <v>4775</v>
      </c>
      <c r="H1047" s="2" t="s">
        <v>2079</v>
      </c>
      <c r="I1047" s="200"/>
      <c r="K1047" s="5"/>
      <c r="L1047" s="5">
        <v>3000</v>
      </c>
      <c r="M1047" s="2" t="s">
        <v>4776</v>
      </c>
      <c r="N1047" s="2" t="s">
        <v>86</v>
      </c>
      <c r="O1047" s="2" t="s">
        <v>4777</v>
      </c>
      <c r="P1047" s="2" t="s">
        <v>3667</v>
      </c>
      <c r="Q1047" s="2" t="s">
        <v>4778</v>
      </c>
      <c r="R1047" s="2">
        <v>55401</v>
      </c>
      <c r="S1047" s="2">
        <v>44.985335999999997</v>
      </c>
      <c r="T1047" s="2">
        <v>-93.272327000000004</v>
      </c>
      <c r="W1047" s="11"/>
      <c r="AC1047" s="2" t="s">
        <v>51</v>
      </c>
      <c r="AD1047" s="2">
        <f t="shared" si="16"/>
        <v>2024</v>
      </c>
    </row>
    <row r="1048" spans="1:31" hidden="1">
      <c r="A1048" s="49" t="s">
        <v>4639</v>
      </c>
      <c r="B1048" s="42">
        <v>45545</v>
      </c>
      <c r="C1048" s="2" t="s">
        <v>4779</v>
      </c>
      <c r="D1048" s="2" t="s">
        <v>122</v>
      </c>
      <c r="E1048" s="2" t="s">
        <v>123</v>
      </c>
      <c r="F1048" s="66" t="s">
        <v>34</v>
      </c>
      <c r="G1048" s="2" t="s">
        <v>4780</v>
      </c>
      <c r="H1048" s="2" t="s">
        <v>131</v>
      </c>
      <c r="I1048" s="200"/>
      <c r="J1048" s="29"/>
      <c r="K1048" s="29"/>
      <c r="L1048" s="29"/>
      <c r="M1048" s="2" t="s">
        <v>684</v>
      </c>
      <c r="N1048" s="2" t="s">
        <v>48</v>
      </c>
      <c r="O1048" s="2" t="s">
        <v>4774</v>
      </c>
      <c r="P1048" s="2" t="s">
        <v>3667</v>
      </c>
      <c r="R1048" s="2">
        <v>56156</v>
      </c>
      <c r="S1048" s="2">
        <v>43.698546</v>
      </c>
      <c r="T1048" s="2">
        <v>-96.163241999999997</v>
      </c>
      <c r="W1048" s="10"/>
      <c r="AC1048" s="2" t="s">
        <v>120</v>
      </c>
      <c r="AD1048" s="2">
        <f t="shared" si="16"/>
        <v>2024</v>
      </c>
    </row>
    <row r="1049" spans="1:31" hidden="1">
      <c r="A1049" s="49" t="s">
        <v>4639</v>
      </c>
      <c r="B1049" s="42">
        <v>45548</v>
      </c>
      <c r="C1049" s="1" t="s">
        <v>4781</v>
      </c>
      <c r="D1049" s="2" t="s">
        <v>1171</v>
      </c>
      <c r="E1049" s="2" t="s">
        <v>1172</v>
      </c>
      <c r="F1049" s="66" t="s">
        <v>34</v>
      </c>
      <c r="G1049" s="2" t="s">
        <v>4782</v>
      </c>
      <c r="H1049" s="2" t="s">
        <v>131</v>
      </c>
      <c r="I1049" s="76">
        <v>3650000</v>
      </c>
      <c r="J1049" s="95">
        <v>19</v>
      </c>
      <c r="K1049" s="29"/>
      <c r="L1049" s="29"/>
      <c r="M1049" s="2" t="s">
        <v>2826</v>
      </c>
      <c r="N1049" s="2" t="s">
        <v>48</v>
      </c>
      <c r="O1049" s="2" t="s">
        <v>4783</v>
      </c>
      <c r="P1049" s="2" t="s">
        <v>4784</v>
      </c>
      <c r="Q1049" s="2" t="s">
        <v>4785</v>
      </c>
      <c r="R1049" s="2">
        <v>56379</v>
      </c>
      <c r="S1049" s="2">
        <v>45.589570000000002</v>
      </c>
      <c r="T1049" s="2">
        <v>-94.140271999999996</v>
      </c>
      <c r="U1049" s="2" t="s">
        <v>378</v>
      </c>
      <c r="V1049" s="2" t="s">
        <v>3906</v>
      </c>
      <c r="W1049" s="76">
        <f>175000+150000</f>
        <v>325000</v>
      </c>
      <c r="AC1049" s="2" t="s">
        <v>41</v>
      </c>
      <c r="AD1049" s="2">
        <f t="shared" si="16"/>
        <v>2024</v>
      </c>
    </row>
    <row r="1050" spans="1:31" hidden="1">
      <c r="A1050" s="49" t="s">
        <v>4639</v>
      </c>
      <c r="B1050" s="42">
        <v>45551</v>
      </c>
      <c r="C1050" s="2" t="s">
        <v>4786</v>
      </c>
      <c r="D1050" s="2" t="s">
        <v>111</v>
      </c>
      <c r="E1050" s="2" t="s">
        <v>112</v>
      </c>
      <c r="F1050" s="66" t="s">
        <v>34</v>
      </c>
      <c r="G1050" s="2" t="s">
        <v>4787</v>
      </c>
      <c r="H1050" s="2" t="s">
        <v>3210</v>
      </c>
      <c r="I1050" s="10">
        <v>260000</v>
      </c>
      <c r="J1050" s="29"/>
      <c r="K1050" s="29"/>
      <c r="L1050" s="29">
        <v>5000</v>
      </c>
      <c r="M1050" s="2" t="s">
        <v>3902</v>
      </c>
      <c r="N1050" s="2" t="s">
        <v>48</v>
      </c>
      <c r="O1050" s="2" t="s">
        <v>4788</v>
      </c>
      <c r="P1050" s="2" t="s">
        <v>4789</v>
      </c>
      <c r="Q1050" s="157" t="s">
        <v>4790</v>
      </c>
      <c r="R1050" s="2">
        <v>55901</v>
      </c>
      <c r="S1050" s="2">
        <v>44.059460000000001</v>
      </c>
      <c r="T1050" s="2">
        <v>-92.507277999999999</v>
      </c>
      <c r="W1050" s="10"/>
      <c r="AC1050" s="2" t="s">
        <v>120</v>
      </c>
      <c r="AD1050" s="2">
        <f t="shared" si="16"/>
        <v>2024</v>
      </c>
    </row>
    <row r="1051" spans="1:31" hidden="1">
      <c r="A1051" s="49" t="s">
        <v>4639</v>
      </c>
      <c r="B1051" s="42">
        <v>45555</v>
      </c>
      <c r="C1051" s="2" t="s">
        <v>4791</v>
      </c>
      <c r="D1051" s="2" t="s">
        <v>505</v>
      </c>
      <c r="E1051" s="2" t="s">
        <v>335</v>
      </c>
      <c r="F1051" s="66" t="s">
        <v>34</v>
      </c>
      <c r="G1051" s="2" t="s">
        <v>4792</v>
      </c>
      <c r="H1051" s="2" t="s">
        <v>1024</v>
      </c>
      <c r="I1051" s="200"/>
      <c r="J1051" s="29"/>
      <c r="K1051" s="29"/>
      <c r="L1051" s="29">
        <v>96400</v>
      </c>
      <c r="M1051" s="2" t="s">
        <v>167</v>
      </c>
      <c r="N1051" s="2" t="s">
        <v>48</v>
      </c>
      <c r="O1051" s="2" t="s">
        <v>4793</v>
      </c>
      <c r="P1051" s="2" t="s">
        <v>4730</v>
      </c>
      <c r="Q1051" s="171" t="s">
        <v>4794</v>
      </c>
      <c r="R1051" s="2">
        <v>55379</v>
      </c>
      <c r="S1051" s="2">
        <v>44.781855999999998</v>
      </c>
      <c r="T1051" s="2">
        <v>-93.456603999999999</v>
      </c>
      <c r="W1051" s="10"/>
      <c r="Y1051" s="2" t="s">
        <v>4791</v>
      </c>
      <c r="AB1051" s="2" t="s">
        <v>1098</v>
      </c>
      <c r="AC1051" s="2" t="s">
        <v>51</v>
      </c>
      <c r="AD1051" s="2">
        <f t="shared" si="16"/>
        <v>2024</v>
      </c>
    </row>
    <row r="1052" spans="1:31" hidden="1">
      <c r="A1052" s="49" t="s">
        <v>4639</v>
      </c>
      <c r="B1052" s="42">
        <v>45558</v>
      </c>
      <c r="C1052" s="2" t="s">
        <v>4795</v>
      </c>
      <c r="D1052" s="2" t="s">
        <v>65</v>
      </c>
      <c r="E1052" s="2" t="s">
        <v>66</v>
      </c>
      <c r="F1052" s="66" t="s">
        <v>34</v>
      </c>
      <c r="G1052" s="2" t="s">
        <v>4796</v>
      </c>
      <c r="H1052" s="2" t="s">
        <v>188</v>
      </c>
      <c r="I1052" s="200">
        <v>21000000</v>
      </c>
      <c r="J1052" s="29"/>
      <c r="K1052" s="29"/>
      <c r="L1052" s="29">
        <v>24000</v>
      </c>
      <c r="M1052" s="2" t="s">
        <v>4013</v>
      </c>
      <c r="N1052" s="2" t="s">
        <v>86</v>
      </c>
      <c r="O1052" s="2" t="s">
        <v>4797</v>
      </c>
      <c r="P1052" s="2" t="s">
        <v>4730</v>
      </c>
      <c r="Q1052" s="181" t="s">
        <v>4798</v>
      </c>
      <c r="R1052" s="2">
        <v>55411</v>
      </c>
      <c r="S1052" s="2">
        <v>44.998887000000003</v>
      </c>
      <c r="T1052" s="2">
        <v>-93.293035000000003</v>
      </c>
      <c r="W1052" s="10"/>
      <c r="AC1052" s="2" t="s">
        <v>51</v>
      </c>
      <c r="AD1052" s="2">
        <f t="shared" ref="AD1052:AD1063" si="17">YEAR(B1052)</f>
        <v>2024</v>
      </c>
    </row>
    <row r="1053" spans="1:31" hidden="1">
      <c r="A1053" s="49" t="s">
        <v>4639</v>
      </c>
      <c r="B1053" s="42">
        <v>45560</v>
      </c>
      <c r="C1053" s="2" t="s">
        <v>4799</v>
      </c>
      <c r="D1053" s="2" t="s">
        <v>4203</v>
      </c>
      <c r="E1053" s="2" t="s">
        <v>2106</v>
      </c>
      <c r="F1053" s="66" t="s">
        <v>34</v>
      </c>
      <c r="G1053" s="2" t="s">
        <v>4800</v>
      </c>
      <c r="H1053" s="2" t="s">
        <v>131</v>
      </c>
      <c r="I1053" s="200"/>
      <c r="J1053" s="29"/>
      <c r="K1053" s="29"/>
      <c r="L1053" s="29"/>
      <c r="M1053" s="2" t="s">
        <v>4650</v>
      </c>
      <c r="N1053" s="2" t="s">
        <v>48</v>
      </c>
      <c r="O1053" s="2" t="s">
        <v>4801</v>
      </c>
      <c r="P1053" s="2" t="s">
        <v>4730</v>
      </c>
      <c r="Q1053" s="202" t="s">
        <v>4802</v>
      </c>
      <c r="R1053" s="2">
        <v>56573</v>
      </c>
      <c r="S1053" s="2">
        <v>46.589382000000001</v>
      </c>
      <c r="T1053" s="2">
        <v>-95.573538999999997</v>
      </c>
      <c r="U1053" s="2" t="s">
        <v>378</v>
      </c>
      <c r="V1053" s="2" t="s">
        <v>2662</v>
      </c>
      <c r="W1053" s="10">
        <v>533000</v>
      </c>
      <c r="AC1053" s="2" t="s">
        <v>41</v>
      </c>
      <c r="AD1053" s="2">
        <f t="shared" si="17"/>
        <v>2024</v>
      </c>
    </row>
    <row r="1054" spans="1:31" hidden="1">
      <c r="A1054" s="2" t="s">
        <v>4639</v>
      </c>
      <c r="B1054" s="42">
        <v>45562</v>
      </c>
      <c r="C1054" s="2" t="s">
        <v>4803</v>
      </c>
      <c r="D1054" s="2" t="s">
        <v>203</v>
      </c>
      <c r="E1054" s="2" t="s">
        <v>74</v>
      </c>
      <c r="F1054" s="66" t="s">
        <v>34</v>
      </c>
      <c r="G1054" s="268" t="s">
        <v>4804</v>
      </c>
      <c r="H1054" s="2" t="s">
        <v>4222</v>
      </c>
      <c r="I1054" s="141">
        <v>209000000</v>
      </c>
      <c r="J1054" s="29">
        <v>20</v>
      </c>
      <c r="K1054" s="29">
        <v>1972</v>
      </c>
      <c r="L1054" s="29">
        <v>253126</v>
      </c>
      <c r="M1054" s="2" t="s">
        <v>167</v>
      </c>
      <c r="N1054" s="2" t="s">
        <v>48</v>
      </c>
      <c r="O1054" s="2" t="s">
        <v>4805</v>
      </c>
      <c r="P1054" s="2" t="s">
        <v>1956</v>
      </c>
      <c r="Q1054" s="157" t="s">
        <v>4806</v>
      </c>
      <c r="R1054" s="2">
        <v>55121</v>
      </c>
      <c r="S1054" s="2">
        <v>44.833874000000002</v>
      </c>
      <c r="T1054" s="2">
        <v>-93.198974000000007</v>
      </c>
      <c r="U1054" s="2" t="s">
        <v>378</v>
      </c>
      <c r="V1054" s="99" t="s">
        <v>4807</v>
      </c>
      <c r="W1054" s="142">
        <f>11000000+1780000</f>
        <v>12780000</v>
      </c>
      <c r="AC1054" s="2" t="s">
        <v>51</v>
      </c>
      <c r="AD1054" s="2">
        <f t="shared" si="17"/>
        <v>2024</v>
      </c>
      <c r="AE1054" s="2" t="s">
        <v>2319</v>
      </c>
    </row>
    <row r="1055" spans="1:31" ht="15.75" hidden="1">
      <c r="A1055" s="2" t="s">
        <v>4639</v>
      </c>
      <c r="B1055" s="42">
        <v>45565</v>
      </c>
      <c r="C1055" s="2" t="s">
        <v>4808</v>
      </c>
      <c r="D1055" s="2" t="s">
        <v>340</v>
      </c>
      <c r="E1055" s="2" t="s">
        <v>66</v>
      </c>
      <c r="F1055" s="66" t="s">
        <v>34</v>
      </c>
      <c r="G1055" s="2" t="s">
        <v>4809</v>
      </c>
      <c r="H1055" s="2" t="s">
        <v>2834</v>
      </c>
      <c r="I1055" s="141">
        <v>31000000</v>
      </c>
      <c r="J1055" s="29">
        <v>158</v>
      </c>
      <c r="K1055" s="5">
        <v>282</v>
      </c>
      <c r="M1055" s="2" t="s">
        <v>167</v>
      </c>
      <c r="N1055" s="2" t="s">
        <v>48</v>
      </c>
      <c r="O1055" s="2" t="s">
        <v>4810</v>
      </c>
      <c r="P1055" s="2" t="s">
        <v>647</v>
      </c>
      <c r="Q1055" s="203" t="s">
        <v>4811</v>
      </c>
      <c r="R1055" s="2">
        <v>55442</v>
      </c>
      <c r="S1055" s="2">
        <v>45.058950000000003</v>
      </c>
      <c r="T1055" s="2">
        <v>-93.411677999999995</v>
      </c>
      <c r="U1055" s="2" t="s">
        <v>378</v>
      </c>
      <c r="V1055" s="2" t="s">
        <v>4812</v>
      </c>
      <c r="W1055" s="10">
        <f>3540500+400000</f>
        <v>3940500</v>
      </c>
      <c r="X1055" s="2" t="s">
        <v>2319</v>
      </c>
      <c r="Y1055" s="2" t="s">
        <v>2012</v>
      </c>
      <c r="AB1055" s="2" t="s">
        <v>2014</v>
      </c>
      <c r="AC1055" s="2" t="s">
        <v>51</v>
      </c>
      <c r="AD1055" s="2">
        <f t="shared" si="17"/>
        <v>2024</v>
      </c>
      <c r="AE1055" s="2" t="s">
        <v>2319</v>
      </c>
    </row>
    <row r="1056" spans="1:31" hidden="1">
      <c r="A1056" s="2" t="s">
        <v>4813</v>
      </c>
      <c r="B1056" s="42">
        <v>45567</v>
      </c>
      <c r="C1056" s="2" t="s">
        <v>4814</v>
      </c>
      <c r="D1056" s="2" t="s">
        <v>65</v>
      </c>
      <c r="E1056" s="2" t="s">
        <v>66</v>
      </c>
      <c r="F1056" s="66" t="s">
        <v>34</v>
      </c>
      <c r="G1056" s="2" t="s">
        <v>4815</v>
      </c>
      <c r="H1056" s="2" t="s">
        <v>4245</v>
      </c>
      <c r="I1056" s="140"/>
      <c r="J1056" s="29"/>
      <c r="K1056" s="5"/>
      <c r="L1056" s="5">
        <v>37578</v>
      </c>
      <c r="M1056" s="2" t="s">
        <v>2754</v>
      </c>
      <c r="N1056" s="2" t="s">
        <v>48</v>
      </c>
      <c r="O1056" s="2" t="s">
        <v>4816</v>
      </c>
      <c r="P1056" s="2" t="s">
        <v>3667</v>
      </c>
      <c r="Q1056" s="2" t="s">
        <v>4817</v>
      </c>
      <c r="R1056" s="2">
        <v>55413</v>
      </c>
      <c r="S1056" s="2">
        <v>44.993372999999998</v>
      </c>
      <c r="T1056" s="2">
        <v>-93.221104999999994</v>
      </c>
      <c r="W1056" s="10"/>
      <c r="AC1056" s="2" t="s">
        <v>51</v>
      </c>
      <c r="AD1056" s="2">
        <f t="shared" si="17"/>
        <v>2024</v>
      </c>
      <c r="AE1056" s="2" t="s">
        <v>2319</v>
      </c>
    </row>
    <row r="1057" spans="1:31" hidden="1">
      <c r="A1057" s="2" t="s">
        <v>4813</v>
      </c>
      <c r="B1057" s="42">
        <v>45580</v>
      </c>
      <c r="C1057" s="2" t="s">
        <v>4818</v>
      </c>
      <c r="D1057" s="2" t="s">
        <v>174</v>
      </c>
      <c r="E1057" s="2" t="s">
        <v>66</v>
      </c>
      <c r="F1057" s="66" t="s">
        <v>34</v>
      </c>
      <c r="G1057" s="2" t="s">
        <v>4819</v>
      </c>
      <c r="H1057" s="2" t="s">
        <v>4820</v>
      </c>
      <c r="I1057" s="140"/>
      <c r="J1057" s="29"/>
      <c r="K1057" s="5"/>
      <c r="M1057" s="2" t="s">
        <v>167</v>
      </c>
      <c r="N1057" s="2" t="s">
        <v>48</v>
      </c>
      <c r="O1057" s="2" t="s">
        <v>4821</v>
      </c>
      <c r="P1057" s="2" t="s">
        <v>4822</v>
      </c>
      <c r="Q1057" s="204" t="s">
        <v>4823</v>
      </c>
      <c r="R1057" s="2">
        <v>55445</v>
      </c>
      <c r="S1057" s="2">
        <v>45.125309999999999</v>
      </c>
      <c r="T1057" s="2">
        <v>-93.373755000000003</v>
      </c>
      <c r="W1057" s="10"/>
      <c r="AC1057" s="2" t="s">
        <v>51</v>
      </c>
      <c r="AD1057" s="2">
        <f t="shared" si="17"/>
        <v>2024</v>
      </c>
      <c r="AE1057" s="2" t="s">
        <v>2319</v>
      </c>
    </row>
    <row r="1058" spans="1:31" hidden="1">
      <c r="A1058" s="2" t="s">
        <v>4813</v>
      </c>
      <c r="B1058" s="42">
        <v>45587</v>
      </c>
      <c r="C1058" s="2" t="s">
        <v>1012</v>
      </c>
      <c r="D1058" s="2" t="s">
        <v>408</v>
      </c>
      <c r="E1058" s="2" t="s">
        <v>99</v>
      </c>
      <c r="F1058" s="66" t="s">
        <v>34</v>
      </c>
      <c r="G1058" s="2" t="s">
        <v>4824</v>
      </c>
      <c r="I1058" s="140"/>
      <c r="J1058" s="29">
        <v>50</v>
      </c>
      <c r="K1058" s="5"/>
      <c r="M1058" s="2" t="s">
        <v>167</v>
      </c>
      <c r="N1058" s="2" t="s">
        <v>48</v>
      </c>
      <c r="O1058" s="2" t="s">
        <v>4825</v>
      </c>
      <c r="P1058" s="2" t="s">
        <v>4730</v>
      </c>
      <c r="Q1058" s="2" t="s">
        <v>4826</v>
      </c>
      <c r="R1058" s="2">
        <v>55119</v>
      </c>
      <c r="S1058" s="2">
        <v>44.961779999999997</v>
      </c>
      <c r="T1058" s="2">
        <v>-93.000037000000006</v>
      </c>
      <c r="W1058" s="10"/>
      <c r="AC1058" s="2" t="s">
        <v>51</v>
      </c>
      <c r="AD1058" s="2">
        <f t="shared" si="17"/>
        <v>2024</v>
      </c>
      <c r="AE1058" s="2" t="s">
        <v>2319</v>
      </c>
    </row>
    <row r="1059" spans="1:31" hidden="1">
      <c r="A1059" s="2" t="s">
        <v>4813</v>
      </c>
      <c r="B1059" s="42">
        <v>45594</v>
      </c>
      <c r="C1059" s="251" t="s">
        <v>4827</v>
      </c>
      <c r="D1059" s="2" t="s">
        <v>1051</v>
      </c>
      <c r="E1059" s="2" t="s">
        <v>66</v>
      </c>
      <c r="F1059" s="66" t="s">
        <v>34</v>
      </c>
      <c r="G1059" s="2" t="s">
        <v>4828</v>
      </c>
      <c r="H1059" s="2" t="s">
        <v>131</v>
      </c>
      <c r="I1059" s="141">
        <v>23915000</v>
      </c>
      <c r="J1059" s="29">
        <v>340</v>
      </c>
      <c r="K1059" s="5"/>
      <c r="L1059" s="5">
        <v>503440</v>
      </c>
      <c r="M1059" s="2" t="s">
        <v>132</v>
      </c>
      <c r="N1059" s="2" t="s">
        <v>48</v>
      </c>
      <c r="O1059" s="2" t="s">
        <v>4829</v>
      </c>
      <c r="P1059" s="2" t="s">
        <v>3667</v>
      </c>
      <c r="Q1059" s="2" t="s">
        <v>4830</v>
      </c>
      <c r="R1059" s="2">
        <v>55369</v>
      </c>
      <c r="S1059" s="2">
        <v>45.164057999999997</v>
      </c>
      <c r="T1059" s="2">
        <v>-93.504239999999996</v>
      </c>
      <c r="U1059" s="2" t="s">
        <v>378</v>
      </c>
      <c r="V1059" s="2" t="s">
        <v>4831</v>
      </c>
      <c r="W1059" s="10">
        <f>1960000+840000</f>
        <v>2800000</v>
      </c>
      <c r="AC1059" s="2" t="s">
        <v>51</v>
      </c>
      <c r="AD1059" s="2">
        <f t="shared" si="17"/>
        <v>2024</v>
      </c>
      <c r="AE1059" s="2" t="s">
        <v>2319</v>
      </c>
    </row>
    <row r="1060" spans="1:31" hidden="1">
      <c r="A1060" s="2" t="s">
        <v>4813</v>
      </c>
      <c r="B1060" s="42">
        <v>45595</v>
      </c>
      <c r="C1060" s="1" t="s">
        <v>4832</v>
      </c>
      <c r="D1060" s="2" t="s">
        <v>4833</v>
      </c>
      <c r="E1060" s="2" t="s">
        <v>282</v>
      </c>
      <c r="F1060" s="66" t="s">
        <v>34</v>
      </c>
      <c r="G1060" s="2" t="s">
        <v>4834</v>
      </c>
      <c r="H1060" s="2" t="s">
        <v>2708</v>
      </c>
      <c r="I1060" s="11">
        <v>60000000</v>
      </c>
      <c r="J1060" s="5">
        <v>10</v>
      </c>
      <c r="K1060" s="5"/>
      <c r="M1060" s="2" t="s">
        <v>4835</v>
      </c>
      <c r="N1060" s="2" t="s">
        <v>300</v>
      </c>
      <c r="O1060" s="2" t="s">
        <v>4836</v>
      </c>
      <c r="P1060" s="2" t="s">
        <v>4730</v>
      </c>
      <c r="Q1060" s="195" t="s">
        <v>4837</v>
      </c>
      <c r="R1060" s="2">
        <v>55336</v>
      </c>
      <c r="S1060" s="2">
        <v>44.767195999999998</v>
      </c>
      <c r="T1060" s="2">
        <v>-94.160852000000006</v>
      </c>
      <c r="W1060" s="11"/>
      <c r="AC1060" s="2" t="s">
        <v>41</v>
      </c>
      <c r="AD1060" s="2">
        <f t="shared" si="17"/>
        <v>2024</v>
      </c>
      <c r="AE1060" s="2" t="s">
        <v>2319</v>
      </c>
    </row>
    <row r="1061" spans="1:31" hidden="1">
      <c r="A1061" s="2" t="s">
        <v>4813</v>
      </c>
      <c r="B1061" s="42">
        <v>45595</v>
      </c>
      <c r="C1061" s="1" t="s">
        <v>4838</v>
      </c>
      <c r="D1061" s="2" t="s">
        <v>65</v>
      </c>
      <c r="E1061" s="2" t="s">
        <v>66</v>
      </c>
      <c r="F1061" s="66" t="s">
        <v>34</v>
      </c>
      <c r="G1061" s="2" t="s">
        <v>4839</v>
      </c>
      <c r="H1061" s="2" t="s">
        <v>2422</v>
      </c>
      <c r="I1061" s="11"/>
      <c r="K1061" s="5"/>
      <c r="L1061" s="5">
        <v>20192</v>
      </c>
      <c r="M1061" s="2" t="s">
        <v>796</v>
      </c>
      <c r="N1061" s="2" t="s">
        <v>103</v>
      </c>
      <c r="O1061" s="7" t="s">
        <v>4840</v>
      </c>
      <c r="P1061" s="2" t="s">
        <v>647</v>
      </c>
      <c r="Q1061" s="2" t="s">
        <v>4841</v>
      </c>
      <c r="R1061" s="2">
        <v>55402</v>
      </c>
      <c r="S1061" s="2">
        <v>44.978349999999999</v>
      </c>
      <c r="T1061" s="2">
        <v>-93.268628000000007</v>
      </c>
      <c r="W1061" s="10"/>
      <c r="AC1061" s="2" t="s">
        <v>51</v>
      </c>
      <c r="AD1061" s="2">
        <f t="shared" si="17"/>
        <v>2024</v>
      </c>
      <c r="AE1061" s="2" t="s">
        <v>2319</v>
      </c>
    </row>
    <row r="1062" spans="1:31" hidden="1">
      <c r="A1062" s="2" t="s">
        <v>4813</v>
      </c>
      <c r="B1062" s="42">
        <v>45596</v>
      </c>
      <c r="C1062" s="2" t="s">
        <v>4842</v>
      </c>
      <c r="D1062" s="2" t="s">
        <v>174</v>
      </c>
      <c r="E1062" s="2" t="s">
        <v>66</v>
      </c>
      <c r="F1062" s="66" t="s">
        <v>34</v>
      </c>
      <c r="G1062" s="2" t="s">
        <v>4843</v>
      </c>
      <c r="I1062" s="104"/>
      <c r="J1062" s="5">
        <v>10</v>
      </c>
      <c r="K1062" s="5"/>
      <c r="M1062" s="2" t="s">
        <v>132</v>
      </c>
      <c r="N1062" s="2" t="s">
        <v>48</v>
      </c>
      <c r="O1062" s="2" t="s">
        <v>114</v>
      </c>
      <c r="P1062" s="2" t="s">
        <v>658</v>
      </c>
      <c r="Q1062" s="157" t="s">
        <v>4844</v>
      </c>
      <c r="R1062" s="2">
        <v>55445</v>
      </c>
      <c r="S1062" s="2">
        <v>45.124512000000003</v>
      </c>
      <c r="T1062" s="2">
        <v>-93.385842999999994</v>
      </c>
      <c r="V1062" s="2" t="s">
        <v>1793</v>
      </c>
      <c r="W1062" s="11">
        <v>110411</v>
      </c>
      <c r="AC1062" s="2" t="s">
        <v>51</v>
      </c>
      <c r="AD1062" s="2">
        <f t="shared" si="17"/>
        <v>2024</v>
      </c>
      <c r="AE1062" s="2" t="s">
        <v>2319</v>
      </c>
    </row>
    <row r="1063" spans="1:31" hidden="1">
      <c r="A1063" s="2" t="s">
        <v>4813</v>
      </c>
      <c r="B1063" s="42">
        <v>45600</v>
      </c>
      <c r="C1063" s="2" t="s">
        <v>4845</v>
      </c>
      <c r="D1063" s="2" t="s">
        <v>2587</v>
      </c>
      <c r="E1063" s="2" t="s">
        <v>246</v>
      </c>
      <c r="F1063" s="66" t="s">
        <v>34</v>
      </c>
      <c r="G1063" s="2" t="s">
        <v>4846</v>
      </c>
      <c r="H1063" s="2" t="s">
        <v>131</v>
      </c>
      <c r="I1063" s="37">
        <v>5000000000</v>
      </c>
      <c r="J1063" s="5">
        <v>650</v>
      </c>
      <c r="K1063" s="5"/>
      <c r="M1063" s="2" t="s">
        <v>4290</v>
      </c>
      <c r="N1063" s="2" t="s">
        <v>48</v>
      </c>
      <c r="O1063" s="2" t="s">
        <v>4847</v>
      </c>
      <c r="P1063" s="2" t="s">
        <v>4730</v>
      </c>
      <c r="R1063" s="2">
        <v>56560</v>
      </c>
      <c r="S1063" s="2">
        <v>46.842027999999999</v>
      </c>
      <c r="T1063" s="2">
        <v>-96.735562999999999</v>
      </c>
      <c r="W1063" s="11"/>
      <c r="AC1063" s="2" t="s">
        <v>41</v>
      </c>
      <c r="AD1063" s="2">
        <f t="shared" si="17"/>
        <v>2024</v>
      </c>
      <c r="AE1063" s="2" t="s">
        <v>2319</v>
      </c>
    </row>
    <row r="1064" spans="1:31" ht="15.75" hidden="1">
      <c r="A1064" s="2" t="s">
        <v>4813</v>
      </c>
      <c r="B1064" s="42">
        <v>45600</v>
      </c>
      <c r="C1064" s="172" t="s">
        <v>4848</v>
      </c>
      <c r="D1064" s="2" t="s">
        <v>381</v>
      </c>
      <c r="E1064" s="2" t="s">
        <v>382</v>
      </c>
      <c r="F1064" s="2" t="s">
        <v>34</v>
      </c>
      <c r="G1064" s="269" t="s">
        <v>4849</v>
      </c>
      <c r="H1064" s="2" t="s">
        <v>131</v>
      </c>
      <c r="I1064" s="37">
        <v>55000000</v>
      </c>
      <c r="J1064" s="270">
        <v>30</v>
      </c>
      <c r="K1064" s="5"/>
      <c r="L1064" s="5">
        <v>135000</v>
      </c>
      <c r="M1064" s="2" t="s">
        <v>2754</v>
      </c>
      <c r="N1064" s="2" t="s">
        <v>48</v>
      </c>
      <c r="O1064" s="2" t="s">
        <v>4850</v>
      </c>
      <c r="P1064" s="2" t="s">
        <v>2573</v>
      </c>
      <c r="Q1064" s="199" t="s">
        <v>4851</v>
      </c>
      <c r="R1064" s="2">
        <v>56007</v>
      </c>
      <c r="S1064" s="2">
        <v>43.623578000000002</v>
      </c>
      <c r="T1064" s="2">
        <v>-93.353842999999998</v>
      </c>
      <c r="U1064" s="2" t="s">
        <v>378</v>
      </c>
      <c r="V1064" s="2" t="s">
        <v>4852</v>
      </c>
      <c r="W1064" s="5">
        <v>2241600</v>
      </c>
      <c r="Y1064" s="2" t="s">
        <v>4848</v>
      </c>
      <c r="Z1064" s="153" t="s">
        <v>4853</v>
      </c>
      <c r="AA1064" s="2" t="s">
        <v>4677</v>
      </c>
      <c r="AC1064" s="2" t="s">
        <v>120</v>
      </c>
      <c r="AD1064" s="2">
        <v>2024</v>
      </c>
    </row>
    <row r="1065" spans="1:31" ht="15.75" hidden="1" thickBot="1">
      <c r="A1065" s="2" t="s">
        <v>4813</v>
      </c>
      <c r="B1065" s="42">
        <v>45608</v>
      </c>
      <c r="C1065" s="1" t="s">
        <v>4854</v>
      </c>
      <c r="D1065" s="2" t="s">
        <v>728</v>
      </c>
      <c r="E1065" s="2" t="s">
        <v>395</v>
      </c>
      <c r="F1065" s="66" t="s">
        <v>34</v>
      </c>
      <c r="G1065" s="2" t="s">
        <v>4855</v>
      </c>
      <c r="H1065" s="2" t="s">
        <v>4856</v>
      </c>
      <c r="I1065" s="143">
        <v>13000000</v>
      </c>
      <c r="K1065" s="5" t="s">
        <v>2319</v>
      </c>
      <c r="M1065" s="2" t="s">
        <v>4857</v>
      </c>
      <c r="N1065" s="2" t="s">
        <v>48</v>
      </c>
      <c r="O1065" s="2" t="s">
        <v>4858</v>
      </c>
      <c r="P1065" s="2" t="s">
        <v>647</v>
      </c>
      <c r="Q1065" s="157" t="s">
        <v>4859</v>
      </c>
      <c r="R1065" s="2">
        <v>55330</v>
      </c>
      <c r="S1065" s="2">
        <v>45.276859999999999</v>
      </c>
      <c r="T1065" s="2">
        <v>-93.537008</v>
      </c>
      <c r="W1065" s="11"/>
      <c r="AC1065" s="2" t="s">
        <v>41</v>
      </c>
      <c r="AD1065" s="2">
        <f t="shared" ref="AD1065:AD1078" si="18">YEAR(B1065)</f>
        <v>2024</v>
      </c>
      <c r="AE1065" s="2" t="s">
        <v>2319</v>
      </c>
    </row>
    <row r="1066" spans="1:31" hidden="1">
      <c r="A1066" s="2" t="s">
        <v>4813</v>
      </c>
      <c r="B1066" s="42">
        <v>45608</v>
      </c>
      <c r="C1066" s="1" t="s">
        <v>4860</v>
      </c>
      <c r="D1066" s="2" t="s">
        <v>4861</v>
      </c>
      <c r="E1066" s="2" t="s">
        <v>952</v>
      </c>
      <c r="F1066" s="66" t="s">
        <v>34</v>
      </c>
      <c r="G1066" s="2" t="s">
        <v>4862</v>
      </c>
      <c r="H1066" s="2" t="s">
        <v>3231</v>
      </c>
      <c r="I1066" s="37">
        <v>3928414</v>
      </c>
      <c r="K1066" s="5"/>
      <c r="L1066" s="5">
        <v>40500</v>
      </c>
      <c r="M1066" s="2" t="s">
        <v>93</v>
      </c>
      <c r="N1066" s="2" t="s">
        <v>48</v>
      </c>
      <c r="O1066" s="2" t="s">
        <v>4863</v>
      </c>
      <c r="P1066" s="2" t="s">
        <v>4864</v>
      </c>
      <c r="Q1066" s="195" t="s">
        <v>4865</v>
      </c>
      <c r="R1066" s="2">
        <v>56304</v>
      </c>
      <c r="S1066" s="2">
        <v>45.573117000000003</v>
      </c>
      <c r="T1066" s="2">
        <v>-94.091740999999999</v>
      </c>
      <c r="W1066" s="11"/>
      <c r="AC1066" s="2" t="s">
        <v>41</v>
      </c>
      <c r="AD1066" s="2">
        <f t="shared" si="18"/>
        <v>2024</v>
      </c>
      <c r="AE1066" s="2" t="s">
        <v>2319</v>
      </c>
    </row>
    <row r="1067" spans="1:31" hidden="1">
      <c r="A1067" s="2" t="s">
        <v>4813</v>
      </c>
      <c r="B1067" s="42">
        <v>45609</v>
      </c>
      <c r="C1067" s="2" t="s">
        <v>2430</v>
      </c>
      <c r="D1067" s="2" t="s">
        <v>32</v>
      </c>
      <c r="E1067" s="2" t="s">
        <v>33</v>
      </c>
      <c r="F1067" s="66" t="s">
        <v>34</v>
      </c>
      <c r="G1067" s="2" t="s">
        <v>4866</v>
      </c>
      <c r="I1067" s="105">
        <v>30000000</v>
      </c>
      <c r="K1067" s="5"/>
      <c r="L1067" s="5">
        <v>20000</v>
      </c>
      <c r="M1067" s="2" t="s">
        <v>2754</v>
      </c>
      <c r="N1067" s="2" t="s">
        <v>48</v>
      </c>
      <c r="O1067" s="2" t="s">
        <v>4867</v>
      </c>
      <c r="P1067" s="2" t="s">
        <v>4868</v>
      </c>
      <c r="Q1067" s="2" t="s">
        <v>4869</v>
      </c>
      <c r="R1067" s="2">
        <v>56201</v>
      </c>
      <c r="S1067" s="2">
        <v>45.110613000000001</v>
      </c>
      <c r="T1067" s="2">
        <v>-95.077980999999994</v>
      </c>
      <c r="W1067" s="223"/>
      <c r="AC1067" s="2" t="s">
        <v>41</v>
      </c>
      <c r="AD1067" s="2">
        <f t="shared" si="18"/>
        <v>2024</v>
      </c>
      <c r="AE1067" s="2" t="s">
        <v>2319</v>
      </c>
    </row>
    <row r="1068" spans="1:31" hidden="1">
      <c r="A1068" s="2" t="s">
        <v>4813</v>
      </c>
      <c r="B1068" s="42">
        <v>45611</v>
      </c>
      <c r="C1068" s="2" t="s">
        <v>4870</v>
      </c>
      <c r="D1068" s="2" t="s">
        <v>203</v>
      </c>
      <c r="E1068" s="2" t="s">
        <v>74</v>
      </c>
      <c r="F1068" s="66" t="s">
        <v>34</v>
      </c>
      <c r="G1068" s="2" t="s">
        <v>4871</v>
      </c>
      <c r="H1068" s="2" t="s">
        <v>3231</v>
      </c>
      <c r="I1068" s="10">
        <v>6100000</v>
      </c>
      <c r="J1068" s="2"/>
      <c r="L1068" s="2">
        <v>72000</v>
      </c>
      <c r="M1068" s="2" t="s">
        <v>2754</v>
      </c>
      <c r="N1068" s="2" t="s">
        <v>48</v>
      </c>
      <c r="O1068" s="2" t="s">
        <v>4872</v>
      </c>
      <c r="P1068" s="2" t="s">
        <v>3667</v>
      </c>
      <c r="Q1068" s="2" t="s">
        <v>4873</v>
      </c>
      <c r="R1068" s="2">
        <v>55121</v>
      </c>
      <c r="S1068" s="2">
        <v>44.850484999999999</v>
      </c>
      <c r="T1068" s="2">
        <v>-93.141420999999994</v>
      </c>
      <c r="W1068" s="11"/>
      <c r="AC1068" s="2" t="s">
        <v>51</v>
      </c>
      <c r="AD1068" s="2">
        <f t="shared" si="18"/>
        <v>2024</v>
      </c>
      <c r="AE1068" s="2" t="s">
        <v>2319</v>
      </c>
    </row>
    <row r="1069" spans="1:31" hidden="1">
      <c r="A1069" s="2" t="s">
        <v>4813</v>
      </c>
      <c r="B1069" s="42">
        <v>45615</v>
      </c>
      <c r="C1069" s="1" t="s">
        <v>4874</v>
      </c>
      <c r="D1069" s="2" t="s">
        <v>4875</v>
      </c>
      <c r="E1069" s="2" t="s">
        <v>2919</v>
      </c>
      <c r="F1069" s="66" t="s">
        <v>34</v>
      </c>
      <c r="G1069" s="2" t="s">
        <v>4876</v>
      </c>
      <c r="H1069" s="2" t="s">
        <v>131</v>
      </c>
      <c r="I1069" s="11"/>
      <c r="K1069" s="5"/>
      <c r="L1069" s="5">
        <v>6600</v>
      </c>
      <c r="M1069" s="2" t="s">
        <v>93</v>
      </c>
      <c r="N1069" s="2" t="s">
        <v>48</v>
      </c>
      <c r="O1069" s="2" t="s">
        <v>4877</v>
      </c>
      <c r="P1069" s="2" t="s">
        <v>4878</v>
      </c>
      <c r="Q1069" s="157" t="s">
        <v>4879</v>
      </c>
      <c r="R1069" s="2">
        <v>56501</v>
      </c>
      <c r="S1069" s="2">
        <v>46.814799000000001</v>
      </c>
      <c r="T1069" s="2">
        <v>-95.826938999999996</v>
      </c>
      <c r="W1069" s="10"/>
      <c r="AC1069" s="2" t="s">
        <v>41</v>
      </c>
      <c r="AD1069" s="2">
        <f t="shared" si="18"/>
        <v>2024</v>
      </c>
      <c r="AE1069" s="2" t="s">
        <v>2319</v>
      </c>
    </row>
    <row r="1070" spans="1:31" hidden="1">
      <c r="A1070" s="2" t="s">
        <v>4813</v>
      </c>
      <c r="B1070" s="42">
        <v>45616</v>
      </c>
      <c r="C1070" s="2" t="s">
        <v>4880</v>
      </c>
      <c r="D1070" s="2" t="s">
        <v>65</v>
      </c>
      <c r="E1070" s="2" t="s">
        <v>66</v>
      </c>
      <c r="F1070" s="66" t="s">
        <v>34</v>
      </c>
      <c r="G1070" s="2" t="s">
        <v>4881</v>
      </c>
      <c r="H1070" s="2" t="s">
        <v>2079</v>
      </c>
      <c r="I1070" s="10"/>
      <c r="J1070" s="2"/>
      <c r="L1070" s="2">
        <f>38000-16000</f>
        <v>22000</v>
      </c>
      <c r="M1070" s="2" t="s">
        <v>531</v>
      </c>
      <c r="N1070" s="2" t="s">
        <v>300</v>
      </c>
      <c r="O1070" s="2" t="s">
        <v>4882</v>
      </c>
      <c r="P1070" s="2" t="s">
        <v>3667</v>
      </c>
      <c r="Q1070" s="2" t="s">
        <v>4883</v>
      </c>
      <c r="R1070" s="2">
        <v>55403</v>
      </c>
      <c r="S1070" s="2">
        <v>44.979905000000002</v>
      </c>
      <c r="T1070" s="2">
        <v>-93.274963</v>
      </c>
      <c r="W1070" s="36"/>
      <c r="AC1070" s="2" t="s">
        <v>51</v>
      </c>
      <c r="AD1070" s="2">
        <f t="shared" si="18"/>
        <v>2024</v>
      </c>
      <c r="AE1070" s="2" t="s">
        <v>2319</v>
      </c>
    </row>
    <row r="1071" spans="1:31" hidden="1">
      <c r="A1071" s="2" t="s">
        <v>4813</v>
      </c>
      <c r="B1071" s="42">
        <v>45621</v>
      </c>
      <c r="C1071" s="2" t="s">
        <v>4884</v>
      </c>
      <c r="D1071" s="2" t="s">
        <v>467</v>
      </c>
      <c r="E1071" s="2" t="s">
        <v>468</v>
      </c>
      <c r="F1071" s="66" t="s">
        <v>34</v>
      </c>
      <c r="G1071" s="2" t="s">
        <v>4885</v>
      </c>
      <c r="H1071" s="2" t="s">
        <v>2708</v>
      </c>
      <c r="I1071" s="140"/>
      <c r="J1071" s="29"/>
      <c r="K1071" s="5"/>
      <c r="L1071" s="5">
        <v>500000</v>
      </c>
      <c r="M1071" s="2" t="s">
        <v>4835</v>
      </c>
      <c r="N1071" s="2" t="s">
        <v>300</v>
      </c>
      <c r="O1071" s="2" t="s">
        <v>4886</v>
      </c>
      <c r="P1071" s="2" t="s">
        <v>647</v>
      </c>
      <c r="Q1071" s="157" t="s">
        <v>4887</v>
      </c>
      <c r="R1071" s="2">
        <v>55021</v>
      </c>
      <c r="S1071" s="2">
        <v>44.365589999999997</v>
      </c>
      <c r="T1071" s="2">
        <v>-93.286861000000002</v>
      </c>
      <c r="W1071" s="10"/>
      <c r="AC1071" s="2" t="s">
        <v>120</v>
      </c>
      <c r="AD1071" s="2">
        <f t="shared" si="18"/>
        <v>2024</v>
      </c>
      <c r="AE1071" s="2" t="s">
        <v>2319</v>
      </c>
    </row>
    <row r="1072" spans="1:31" hidden="1">
      <c r="A1072" s="2" t="s">
        <v>4813</v>
      </c>
      <c r="B1072" s="42">
        <v>45627</v>
      </c>
      <c r="C1072" s="1" t="s">
        <v>4888</v>
      </c>
      <c r="D1072" s="2" t="s">
        <v>3864</v>
      </c>
      <c r="E1072" s="2" t="s">
        <v>74</v>
      </c>
      <c r="F1072" s="66" t="s">
        <v>34</v>
      </c>
      <c r="G1072" s="2" t="s">
        <v>4889</v>
      </c>
      <c r="H1072" s="2" t="s">
        <v>2708</v>
      </c>
      <c r="I1072" s="10">
        <v>5000000000</v>
      </c>
      <c r="K1072" s="5"/>
      <c r="L1072" s="5">
        <f>933800+1600400</f>
        <v>2534200</v>
      </c>
      <c r="M1072" s="2" t="s">
        <v>4835</v>
      </c>
      <c r="N1072" s="2" t="s">
        <v>300</v>
      </c>
      <c r="O1072" s="7" t="s">
        <v>4890</v>
      </c>
      <c r="P1072" s="2" t="s">
        <v>4891</v>
      </c>
      <c r="Q1072" s="195" t="s">
        <v>4892</v>
      </c>
      <c r="R1072" s="2">
        <v>55024</v>
      </c>
      <c r="S1072" s="2">
        <v>44.628574</v>
      </c>
      <c r="T1072" s="2">
        <v>-93.122412999999995</v>
      </c>
      <c r="W1072" s="10"/>
      <c r="AC1072" s="2" t="s">
        <v>51</v>
      </c>
      <c r="AD1072" s="2">
        <f t="shared" si="18"/>
        <v>2024</v>
      </c>
      <c r="AE1072" s="2" t="s">
        <v>2319</v>
      </c>
    </row>
    <row r="1073" spans="1:31" hidden="1">
      <c r="A1073" s="2" t="s">
        <v>4813</v>
      </c>
      <c r="B1073" s="42">
        <v>45631</v>
      </c>
      <c r="C1073" s="1" t="s">
        <v>4893</v>
      </c>
      <c r="D1073" s="2" t="s">
        <v>111</v>
      </c>
      <c r="E1073" s="2" t="s">
        <v>112</v>
      </c>
      <c r="F1073" s="66" t="s">
        <v>34</v>
      </c>
      <c r="G1073" s="2" t="s">
        <v>4894</v>
      </c>
      <c r="H1073" s="2" t="s">
        <v>2159</v>
      </c>
      <c r="I1073" s="29">
        <f>2050000+410000+828024</f>
        <v>3288024</v>
      </c>
      <c r="J1073" s="5">
        <v>22</v>
      </c>
      <c r="K1073" s="5"/>
      <c r="L1073" s="5">
        <v>18468</v>
      </c>
      <c r="M1073" s="2" t="s">
        <v>3487</v>
      </c>
      <c r="N1073" s="2" t="s">
        <v>86</v>
      </c>
      <c r="O1073" s="2" t="s">
        <v>4895</v>
      </c>
      <c r="P1073" s="2" t="s">
        <v>4584</v>
      </c>
      <c r="Q1073" s="195" t="s">
        <v>4896</v>
      </c>
      <c r="R1073" s="2">
        <v>55901</v>
      </c>
      <c r="S1073" s="2">
        <v>44.037703999999998</v>
      </c>
      <c r="T1073" s="2">
        <v>-92.495992000000001</v>
      </c>
      <c r="U1073" s="2" t="s">
        <v>378</v>
      </c>
      <c r="V1073" s="2" t="s">
        <v>4897</v>
      </c>
      <c r="W1073" s="10">
        <f>140000+325000</f>
        <v>465000</v>
      </c>
      <c r="AC1073" s="2" t="s">
        <v>120</v>
      </c>
      <c r="AD1073" s="2">
        <f t="shared" si="18"/>
        <v>2024</v>
      </c>
      <c r="AE1073" s="2" t="s">
        <v>2319</v>
      </c>
    </row>
    <row r="1074" spans="1:31" hidden="1">
      <c r="A1074" s="2" t="s">
        <v>4813</v>
      </c>
      <c r="B1074" s="42">
        <v>45632</v>
      </c>
      <c r="C1074" s="2" t="s">
        <v>3122</v>
      </c>
      <c r="D1074" s="2" t="s">
        <v>528</v>
      </c>
      <c r="E1074" s="2" t="s">
        <v>66</v>
      </c>
      <c r="F1074" s="66" t="s">
        <v>34</v>
      </c>
      <c r="G1074" s="2" t="s">
        <v>4898</v>
      </c>
      <c r="H1074" s="2" t="s">
        <v>131</v>
      </c>
      <c r="I1074" s="10">
        <v>127000000</v>
      </c>
      <c r="J1074" s="5">
        <v>70</v>
      </c>
      <c r="K1074" s="5"/>
      <c r="M1074" s="2" t="s">
        <v>450</v>
      </c>
      <c r="N1074" s="2" t="s">
        <v>48</v>
      </c>
      <c r="O1074" s="2" t="s">
        <v>4899</v>
      </c>
      <c r="P1074" s="2" t="s">
        <v>4730</v>
      </c>
      <c r="Q1074" s="157" t="s">
        <v>932</v>
      </c>
      <c r="R1074" s="2">
        <v>55431</v>
      </c>
      <c r="S1074" s="2">
        <v>44.848171999999998</v>
      </c>
      <c r="T1074" s="2">
        <v>-93.310080999999997</v>
      </c>
      <c r="U1074" s="2" t="s">
        <v>378</v>
      </c>
      <c r="V1074" s="2" t="s">
        <v>4900</v>
      </c>
      <c r="W1074" s="10">
        <f>35000000</f>
        <v>35000000</v>
      </c>
      <c r="AC1074" s="2" t="s">
        <v>51</v>
      </c>
      <c r="AD1074" s="2">
        <f t="shared" si="18"/>
        <v>2024</v>
      </c>
      <c r="AE1074" s="2" t="s">
        <v>2319</v>
      </c>
    </row>
    <row r="1075" spans="1:31" hidden="1">
      <c r="A1075" s="2" t="s">
        <v>4813</v>
      </c>
      <c r="B1075" s="42">
        <v>45635</v>
      </c>
      <c r="C1075" s="1" t="s">
        <v>4901</v>
      </c>
      <c r="D1075" s="2" t="s">
        <v>1151</v>
      </c>
      <c r="E1075" s="2" t="s">
        <v>572</v>
      </c>
      <c r="F1075" s="66" t="s">
        <v>34</v>
      </c>
      <c r="G1075" s="2" t="s">
        <v>4902</v>
      </c>
      <c r="H1075" s="2" t="s">
        <v>3231</v>
      </c>
      <c r="I1075" s="10"/>
      <c r="J1075" s="5">
        <v>230</v>
      </c>
      <c r="K1075" s="5"/>
      <c r="L1075" s="5">
        <v>260000</v>
      </c>
      <c r="N1075" s="2" t="s">
        <v>253</v>
      </c>
      <c r="O1075" s="2" t="s">
        <v>4903</v>
      </c>
      <c r="P1075" s="2" t="s">
        <v>3667</v>
      </c>
      <c r="Q1075" s="195" t="s">
        <v>4904</v>
      </c>
      <c r="R1075" s="2">
        <v>55330</v>
      </c>
      <c r="S1075" s="2">
        <v>45.243062999999999</v>
      </c>
      <c r="T1075" s="2">
        <v>-93.553585999999996</v>
      </c>
      <c r="W1075" s="10"/>
      <c r="X1075" s="2" t="s">
        <v>2319</v>
      </c>
      <c r="Y1075" s="2" t="s">
        <v>4905</v>
      </c>
      <c r="AA1075" s="2" t="s">
        <v>1776</v>
      </c>
      <c r="AB1075" s="2" t="s">
        <v>423</v>
      </c>
      <c r="AC1075" s="2" t="s">
        <v>41</v>
      </c>
      <c r="AD1075" s="2">
        <f t="shared" si="18"/>
        <v>2024</v>
      </c>
      <c r="AE1075" s="2" t="s">
        <v>2319</v>
      </c>
    </row>
    <row r="1076" spans="1:31" hidden="1">
      <c r="A1076" s="2" t="s">
        <v>4813</v>
      </c>
      <c r="B1076" s="42">
        <v>45636</v>
      </c>
      <c r="C1076" s="2" t="s">
        <v>4435</v>
      </c>
      <c r="D1076" s="2" t="s">
        <v>528</v>
      </c>
      <c r="E1076" s="2" t="s">
        <v>66</v>
      </c>
      <c r="F1076" s="66" t="s">
        <v>34</v>
      </c>
      <c r="G1076" s="2" t="s">
        <v>4906</v>
      </c>
      <c r="H1076" s="2" t="s">
        <v>2079</v>
      </c>
      <c r="I1076" s="104">
        <v>950000</v>
      </c>
      <c r="K1076" s="5"/>
      <c r="M1076" s="2" t="s">
        <v>93</v>
      </c>
      <c r="N1076" s="2" t="s">
        <v>48</v>
      </c>
      <c r="O1076" s="2" t="s">
        <v>3090</v>
      </c>
      <c r="P1076" s="2" t="s">
        <v>2375</v>
      </c>
      <c r="Q1076" s="195" t="s">
        <v>4907</v>
      </c>
      <c r="R1076" s="2">
        <v>55431</v>
      </c>
      <c r="S1076" s="2">
        <v>44.834688999999997</v>
      </c>
      <c r="T1076" s="2">
        <v>-93.297280999999998</v>
      </c>
      <c r="W1076" s="11"/>
      <c r="AC1076" s="2" t="s">
        <v>51</v>
      </c>
      <c r="AD1076" s="2">
        <f t="shared" si="18"/>
        <v>2024</v>
      </c>
      <c r="AE1076" s="2" t="s">
        <v>2319</v>
      </c>
    </row>
    <row r="1077" spans="1:31" ht="165" hidden="1">
      <c r="A1077" s="2" t="s">
        <v>4813</v>
      </c>
      <c r="B1077" s="42">
        <v>45643</v>
      </c>
      <c r="C1077" s="1" t="s">
        <v>4908</v>
      </c>
      <c r="D1077" s="2" t="s">
        <v>53</v>
      </c>
      <c r="E1077" s="2" t="s">
        <v>54</v>
      </c>
      <c r="F1077" s="66" t="s">
        <v>34</v>
      </c>
      <c r="G1077" s="267" t="s">
        <v>4909</v>
      </c>
      <c r="H1077" s="2" t="s">
        <v>131</v>
      </c>
      <c r="I1077" s="11">
        <v>50000000</v>
      </c>
      <c r="J1077" s="5">
        <v>300</v>
      </c>
      <c r="K1077" s="5"/>
      <c r="L1077" s="5">
        <v>148000</v>
      </c>
      <c r="M1077" s="2" t="s">
        <v>167</v>
      </c>
      <c r="N1077" s="2" t="s">
        <v>48</v>
      </c>
      <c r="O1077" s="2" t="s">
        <v>4910</v>
      </c>
      <c r="P1077" s="2" t="s">
        <v>647</v>
      </c>
      <c r="Q1077" s="195" t="s">
        <v>4911</v>
      </c>
      <c r="R1077" s="2">
        <v>55318</v>
      </c>
      <c r="S1077" s="2">
        <v>44.835619999999999</v>
      </c>
      <c r="T1077" s="2">
        <v>-93.601780000000005</v>
      </c>
      <c r="U1077" s="2" t="s">
        <v>378</v>
      </c>
      <c r="V1077" s="2" t="s">
        <v>4912</v>
      </c>
      <c r="W1077" s="226">
        <f>1740000+1250000</f>
        <v>2990000</v>
      </c>
      <c r="AA1077" s="2" t="s">
        <v>2372</v>
      </c>
      <c r="AC1077" s="2" t="s">
        <v>51</v>
      </c>
      <c r="AD1077" s="2">
        <f t="shared" si="18"/>
        <v>2024</v>
      </c>
      <c r="AE1077" s="2" t="s">
        <v>2319</v>
      </c>
    </row>
    <row r="1078" spans="1:31" ht="15.75" hidden="1">
      <c r="A1078" s="2" t="s">
        <v>4813</v>
      </c>
      <c r="B1078" s="42">
        <v>45657</v>
      </c>
      <c r="C1078" s="2" t="s">
        <v>4913</v>
      </c>
      <c r="D1078" s="2" t="s">
        <v>174</v>
      </c>
      <c r="E1078" s="2" t="s">
        <v>66</v>
      </c>
      <c r="F1078" s="66" t="s">
        <v>34</v>
      </c>
      <c r="G1078" s="2" t="s">
        <v>4914</v>
      </c>
      <c r="I1078" s="104"/>
      <c r="J1078" s="5">
        <v>22</v>
      </c>
      <c r="K1078" s="5"/>
      <c r="M1078" s="2" t="s">
        <v>167</v>
      </c>
      <c r="N1078" s="2" t="s">
        <v>48</v>
      </c>
      <c r="O1078" s="2" t="s">
        <v>114</v>
      </c>
      <c r="P1078" s="2" t="s">
        <v>658</v>
      </c>
      <c r="Q1078" s="157" t="s">
        <v>4915</v>
      </c>
      <c r="R1078" s="2">
        <v>55445</v>
      </c>
      <c r="S1078" s="2">
        <v>45.122045999999997</v>
      </c>
      <c r="T1078" s="2">
        <v>-93.380097000000006</v>
      </c>
      <c r="U1078" s="2" t="s">
        <v>378</v>
      </c>
      <c r="V1078" s="2" t="s">
        <v>1793</v>
      </c>
      <c r="W1078" s="205">
        <v>256198</v>
      </c>
      <c r="AC1078" s="2" t="s">
        <v>51</v>
      </c>
      <c r="AD1078" s="2">
        <f t="shared" si="18"/>
        <v>2024</v>
      </c>
      <c r="AE1078" s="2" t="s">
        <v>2319</v>
      </c>
    </row>
    <row r="1079" spans="1:31" s="255" customFormat="1" hidden="1">
      <c r="A1079" s="2" t="s">
        <v>4916</v>
      </c>
      <c r="B1079" s="42">
        <v>45789</v>
      </c>
      <c r="C1079" s="2" t="s">
        <v>4917</v>
      </c>
      <c r="D1079" s="2" t="s">
        <v>65</v>
      </c>
      <c r="E1079" s="2" t="s">
        <v>66</v>
      </c>
      <c r="F1079" s="66" t="s">
        <v>34</v>
      </c>
      <c r="G1079" s="263" t="s">
        <v>4918</v>
      </c>
      <c r="H1079" s="2"/>
      <c r="I1079" s="5">
        <v>1000000000</v>
      </c>
      <c r="J1079" s="5"/>
      <c r="K1079" s="5"/>
      <c r="L1079" s="5">
        <v>500000</v>
      </c>
      <c r="M1079" s="2" t="s">
        <v>2109</v>
      </c>
      <c r="N1079" s="2" t="s">
        <v>37</v>
      </c>
      <c r="O1079" s="2" t="s">
        <v>4919</v>
      </c>
      <c r="P1079" s="2" t="s">
        <v>647</v>
      </c>
      <c r="Q1079" s="157" t="s">
        <v>4920</v>
      </c>
      <c r="R1079" s="2">
        <v>55407</v>
      </c>
      <c r="S1079" s="2">
        <v>44.954590000000003</v>
      </c>
      <c r="T1079" s="2">
        <v>-93.261315999999994</v>
      </c>
      <c r="U1079" s="2"/>
      <c r="V1079" s="2"/>
      <c r="W1079" s="5"/>
      <c r="X1079" s="2"/>
      <c r="Y1079" s="2"/>
      <c r="Z1079" s="2"/>
      <c r="AA1079" s="2"/>
      <c r="AB1079" s="2"/>
      <c r="AC1079" s="2" t="s">
        <v>51</v>
      </c>
      <c r="AD1079" s="2">
        <f>YEAR(B1079)</f>
        <v>2025</v>
      </c>
      <c r="AE1079" s="2" t="s">
        <v>2319</v>
      </c>
    </row>
    <row r="1080" spans="1:31" hidden="1">
      <c r="A1080" s="2" t="s">
        <v>4916</v>
      </c>
      <c r="B1080" s="42">
        <v>45796</v>
      </c>
      <c r="C1080" s="2" t="s">
        <v>2581</v>
      </c>
      <c r="D1080" s="2" t="s">
        <v>203</v>
      </c>
      <c r="E1080" s="2" t="s">
        <v>74</v>
      </c>
      <c r="F1080" s="66" t="s">
        <v>34</v>
      </c>
      <c r="G1080" s="263" t="s">
        <v>4921</v>
      </c>
      <c r="H1080" s="272" t="s">
        <v>2834</v>
      </c>
      <c r="I1080" s="5">
        <v>500000000</v>
      </c>
      <c r="J1080" s="5">
        <v>5</v>
      </c>
      <c r="K1080" s="5">
        <v>2894</v>
      </c>
      <c r="L1080" s="5">
        <v>82200</v>
      </c>
      <c r="M1080" s="2" t="s">
        <v>684</v>
      </c>
      <c r="N1080" s="2" t="s">
        <v>48</v>
      </c>
      <c r="O1080" s="2" t="s">
        <v>4922</v>
      </c>
      <c r="P1080" s="2" t="s">
        <v>647</v>
      </c>
      <c r="Q1080" s="2" t="s">
        <v>2585</v>
      </c>
      <c r="R1080" s="2">
        <v>55121</v>
      </c>
      <c r="S1080" s="2">
        <v>44.852012999999999</v>
      </c>
      <c r="T1080" s="2">
        <v>-93.113997999999995</v>
      </c>
      <c r="U1080" s="273" t="s">
        <v>378</v>
      </c>
      <c r="V1080" s="273" t="s">
        <v>4923</v>
      </c>
      <c r="W1080" s="5"/>
      <c r="AC1080" s="2" t="s">
        <v>51</v>
      </c>
      <c r="AD1080" s="2">
        <f>YEAR(B1080)</f>
        <v>2025</v>
      </c>
      <c r="AE1080" s="2" t="s">
        <v>2319</v>
      </c>
    </row>
    <row r="1081" spans="1:31" hidden="1">
      <c r="A1081" s="2" t="s">
        <v>4916</v>
      </c>
      <c r="B1081" s="42">
        <v>45784</v>
      </c>
      <c r="C1081" s="2" t="s">
        <v>4924</v>
      </c>
      <c r="D1081" s="2" t="s">
        <v>43</v>
      </c>
      <c r="E1081" s="2" t="s">
        <v>44</v>
      </c>
      <c r="F1081" s="66" t="s">
        <v>34</v>
      </c>
      <c r="G1081" s="274" t="s">
        <v>4925</v>
      </c>
      <c r="I1081" s="5">
        <v>400000000</v>
      </c>
      <c r="L1081" s="5">
        <v>400000</v>
      </c>
      <c r="M1081" s="2" t="s">
        <v>2109</v>
      </c>
      <c r="N1081" s="2" t="s">
        <v>37</v>
      </c>
      <c r="O1081" s="2" t="s">
        <v>4926</v>
      </c>
      <c r="P1081" s="2" t="s">
        <v>4705</v>
      </c>
      <c r="Q1081" s="2" t="s">
        <v>4927</v>
      </c>
      <c r="R1081" s="2">
        <v>55082</v>
      </c>
      <c r="S1081" s="2">
        <v>45.047108999999999</v>
      </c>
      <c r="T1081" s="2">
        <v>-92.818701000000004</v>
      </c>
      <c r="W1081" s="5"/>
      <c r="AC1081" s="2" t="s">
        <v>51</v>
      </c>
      <c r="AD1081" s="2">
        <f>YEAR(B1081)</f>
        <v>2025</v>
      </c>
      <c r="AE1081" s="2" t="s">
        <v>2319</v>
      </c>
    </row>
    <row r="1082" spans="1:31" hidden="1">
      <c r="A1082" s="255" t="s">
        <v>4928</v>
      </c>
      <c r="B1082" s="256">
        <v>45712</v>
      </c>
      <c r="C1082" s="255" t="s">
        <v>4929</v>
      </c>
      <c r="D1082" s="255" t="s">
        <v>3243</v>
      </c>
      <c r="E1082" s="255" t="s">
        <v>74</v>
      </c>
      <c r="F1082" s="257" t="s">
        <v>34</v>
      </c>
      <c r="G1082" s="263" t="s">
        <v>4930</v>
      </c>
      <c r="H1082" s="255" t="s">
        <v>2159</v>
      </c>
      <c r="I1082" s="5">
        <v>233500000</v>
      </c>
      <c r="J1082" s="258">
        <v>41</v>
      </c>
      <c r="K1082" s="258"/>
      <c r="L1082" s="258">
        <v>245000</v>
      </c>
      <c r="M1082" s="2" t="s">
        <v>2336</v>
      </c>
      <c r="N1082" s="2" t="s">
        <v>4703</v>
      </c>
      <c r="O1082" s="2" t="s">
        <v>4931</v>
      </c>
      <c r="P1082" s="2" t="s">
        <v>658</v>
      </c>
      <c r="Q1082" s="2" t="s">
        <v>4279</v>
      </c>
      <c r="R1082" s="2">
        <v>55068</v>
      </c>
      <c r="S1082" s="2">
        <v>44.702818999999998</v>
      </c>
      <c r="T1082" s="2">
        <v>-93.020605000000003</v>
      </c>
      <c r="U1082" s="255" t="s">
        <v>378</v>
      </c>
      <c r="V1082" s="275" t="s">
        <v>4932</v>
      </c>
      <c r="W1082" s="261">
        <f>49950000+98500000</f>
        <v>148450000</v>
      </c>
      <c r="X1082" s="255"/>
      <c r="Y1082" s="255"/>
      <c r="Z1082" s="255"/>
      <c r="AA1082" s="255"/>
      <c r="AB1082" s="255"/>
      <c r="AC1082" s="255" t="s">
        <v>51</v>
      </c>
      <c r="AD1082" s="255">
        <f>YEAR(B1082)</f>
        <v>2025</v>
      </c>
      <c r="AE1082" s="255"/>
    </row>
    <row r="1083" spans="1:31" hidden="1">
      <c r="A1083" s="238" t="s">
        <v>4933</v>
      </c>
      <c r="B1083" s="239">
        <v>46000</v>
      </c>
      <c r="C1083" s="238" t="s">
        <v>4934</v>
      </c>
      <c r="D1083" s="238" t="s">
        <v>340</v>
      </c>
      <c r="E1083" s="238" t="s">
        <v>66</v>
      </c>
      <c r="F1083" s="238" t="s">
        <v>34</v>
      </c>
      <c r="G1083" s="264" t="s">
        <v>4935</v>
      </c>
      <c r="H1083" s="238" t="s">
        <v>2159</v>
      </c>
      <c r="I1083" s="244">
        <v>163000000</v>
      </c>
      <c r="J1083" s="241"/>
      <c r="K1083" s="241"/>
      <c r="L1083" s="241">
        <v>71000</v>
      </c>
      <c r="M1083" s="238" t="s">
        <v>93</v>
      </c>
      <c r="N1083" s="238" t="s">
        <v>48</v>
      </c>
      <c r="O1083" s="238" t="s">
        <v>4936</v>
      </c>
      <c r="P1083" s="238" t="s">
        <v>4705</v>
      </c>
      <c r="Q1083" s="238" t="s">
        <v>4937</v>
      </c>
      <c r="R1083" s="238">
        <v>55441</v>
      </c>
      <c r="S1083" s="238">
        <v>45.002954000000003</v>
      </c>
      <c r="T1083" s="238">
        <v>-93.452873999999994</v>
      </c>
      <c r="U1083" s="238"/>
      <c r="V1083" s="238"/>
      <c r="W1083" s="244"/>
      <c r="X1083" s="2" t="s">
        <v>4938</v>
      </c>
      <c r="Y1083" s="230" t="s">
        <v>1453</v>
      </c>
      <c r="Z1083" s="230" t="s">
        <v>756</v>
      </c>
      <c r="AA1083" s="238"/>
      <c r="AB1083" t="s">
        <v>757</v>
      </c>
      <c r="AC1083" s="238" t="s">
        <v>51</v>
      </c>
      <c r="AD1083" s="250">
        <v>2025</v>
      </c>
      <c r="AE1083" s="238"/>
    </row>
    <row r="1084" spans="1:31" s="255" customFormat="1" hidden="1">
      <c r="A1084" s="255" t="s">
        <v>4928</v>
      </c>
      <c r="B1084" s="256">
        <v>45708</v>
      </c>
      <c r="C1084" s="255" t="s">
        <v>1782</v>
      </c>
      <c r="D1084" s="255" t="s">
        <v>165</v>
      </c>
      <c r="E1084" s="255" t="s">
        <v>66</v>
      </c>
      <c r="F1084" s="257" t="s">
        <v>34</v>
      </c>
      <c r="G1084" s="263" t="s">
        <v>4939</v>
      </c>
      <c r="H1084" s="255" t="s">
        <v>131</v>
      </c>
      <c r="I1084" s="259">
        <v>139400000</v>
      </c>
      <c r="J1084" s="259">
        <v>440</v>
      </c>
      <c r="K1084" s="259"/>
      <c r="L1084" s="259">
        <f>51849+31800</f>
        <v>83649</v>
      </c>
      <c r="M1084" s="2" t="s">
        <v>167</v>
      </c>
      <c r="N1084" s="2" t="s">
        <v>48</v>
      </c>
      <c r="O1084" s="2" t="s">
        <v>4940</v>
      </c>
      <c r="P1084" s="2" t="s">
        <v>2850</v>
      </c>
      <c r="Q1084" s="2" t="s">
        <v>4941</v>
      </c>
      <c r="R1084" s="2">
        <v>55311</v>
      </c>
      <c r="S1084" s="2">
        <v>45.103912999999999</v>
      </c>
      <c r="T1084" s="2">
        <v>-93.467676999999995</v>
      </c>
      <c r="U1084" s="255" t="s">
        <v>378</v>
      </c>
      <c r="V1084" s="255" t="s">
        <v>4942</v>
      </c>
      <c r="W1084" s="255">
        <f>1000000+1660000</f>
        <v>2660000</v>
      </c>
      <c r="AC1084" s="255" t="s">
        <v>51</v>
      </c>
      <c r="AD1084" s="255">
        <f>YEAR(B1084)</f>
        <v>2025</v>
      </c>
      <c r="AE1084" s="255" t="s">
        <v>4943</v>
      </c>
    </row>
    <row r="1085" spans="1:31" s="255" customFormat="1" hidden="1">
      <c r="A1085" s="255" t="s">
        <v>4916</v>
      </c>
      <c r="B1085" s="256">
        <v>45812</v>
      </c>
      <c r="C1085" s="255" t="s">
        <v>4944</v>
      </c>
      <c r="D1085" s="255" t="s">
        <v>4945</v>
      </c>
      <c r="E1085" s="255" t="s">
        <v>277</v>
      </c>
      <c r="F1085" s="257" t="s">
        <v>34</v>
      </c>
      <c r="G1085" s="263" t="s">
        <v>4946</v>
      </c>
      <c r="H1085" s="255" t="s">
        <v>131</v>
      </c>
      <c r="I1085" s="259">
        <v>137000000</v>
      </c>
      <c r="J1085" s="258"/>
      <c r="K1085" s="258">
        <v>132</v>
      </c>
      <c r="L1085" s="258"/>
      <c r="M1085" s="2" t="s">
        <v>496</v>
      </c>
      <c r="N1085" s="2" t="s">
        <v>48</v>
      </c>
      <c r="O1085" s="2" t="s">
        <v>4947</v>
      </c>
      <c r="P1085" s="2" t="s">
        <v>658</v>
      </c>
      <c r="Q1085" s="2" t="s">
        <v>4948</v>
      </c>
      <c r="R1085" s="2">
        <v>56678</v>
      </c>
      <c r="S1085" s="2">
        <v>47.511102000000001</v>
      </c>
      <c r="T1085" s="2">
        <v>-95.076801000000003</v>
      </c>
      <c r="U1085" s="255" t="s">
        <v>378</v>
      </c>
      <c r="V1085" s="255" t="s">
        <v>1306</v>
      </c>
      <c r="W1085" s="260">
        <v>1077535</v>
      </c>
      <c r="X1085" s="255" t="s">
        <v>4938</v>
      </c>
      <c r="Y1085" s="275" t="s">
        <v>4949</v>
      </c>
      <c r="Z1085" s="275"/>
      <c r="AA1085" s="275"/>
      <c r="AB1085" s="275" t="s">
        <v>423</v>
      </c>
      <c r="AC1085" s="255" t="s">
        <v>97</v>
      </c>
      <c r="AD1085" s="255">
        <f>YEAR(B1085)</f>
        <v>2025</v>
      </c>
      <c r="AE1085" s="255" t="s">
        <v>2319</v>
      </c>
    </row>
    <row r="1086" spans="1:31" s="255" customFormat="1" hidden="1">
      <c r="A1086" s="255" t="s">
        <v>4928</v>
      </c>
      <c r="B1086" s="256">
        <v>45712</v>
      </c>
      <c r="C1086" s="255" t="s">
        <v>4950</v>
      </c>
      <c r="D1086" s="255" t="s">
        <v>165</v>
      </c>
      <c r="E1086" s="255" t="s">
        <v>66</v>
      </c>
      <c r="F1086" s="257" t="s">
        <v>34</v>
      </c>
      <c r="G1086" s="263" t="s">
        <v>4951</v>
      </c>
      <c r="H1086" s="255" t="s">
        <v>2834</v>
      </c>
      <c r="I1086" s="259">
        <v>132000000</v>
      </c>
      <c r="J1086" s="258">
        <v>25</v>
      </c>
      <c r="K1086" s="258"/>
      <c r="L1086" s="258">
        <v>122400</v>
      </c>
      <c r="M1086" s="2" t="s">
        <v>2336</v>
      </c>
      <c r="N1086" s="2" t="s">
        <v>4703</v>
      </c>
      <c r="O1086" s="2" t="s">
        <v>4952</v>
      </c>
      <c r="P1086" s="2" t="s">
        <v>4730</v>
      </c>
      <c r="Q1086" s="2" t="s">
        <v>4953</v>
      </c>
      <c r="R1086" s="2">
        <v>55369</v>
      </c>
      <c r="S1086" s="2">
        <v>45.091427000000003</v>
      </c>
      <c r="T1086" s="2">
        <v>-93.406041000000002</v>
      </c>
      <c r="U1086" s="255" t="s">
        <v>378</v>
      </c>
      <c r="V1086" s="275" t="s">
        <v>4954</v>
      </c>
      <c r="W1086" s="261">
        <f>82000000+50000000</f>
        <v>132000000</v>
      </c>
      <c r="AC1086" s="255" t="s">
        <v>51</v>
      </c>
      <c r="AD1086" s="255">
        <f>YEAR(B1086)</f>
        <v>2025</v>
      </c>
      <c r="AE1086" s="255" t="s">
        <v>2319</v>
      </c>
    </row>
    <row r="1087" spans="1:31" s="255" customFormat="1" hidden="1">
      <c r="A1087" s="255" t="s">
        <v>4955</v>
      </c>
      <c r="B1087" s="256">
        <v>45930</v>
      </c>
      <c r="C1087" s="255" t="s">
        <v>4956</v>
      </c>
      <c r="D1087" s="255" t="s">
        <v>505</v>
      </c>
      <c r="E1087" s="255" t="s">
        <v>335</v>
      </c>
      <c r="F1087" s="255" t="s">
        <v>34</v>
      </c>
      <c r="G1087" s="263" t="s">
        <v>4957</v>
      </c>
      <c r="H1087" s="255" t="s">
        <v>131</v>
      </c>
      <c r="I1087" s="258">
        <v>92037000</v>
      </c>
      <c r="J1087" s="258">
        <v>12</v>
      </c>
      <c r="K1087" s="258">
        <v>140</v>
      </c>
      <c r="L1087" s="258"/>
      <c r="M1087" s="111" t="s">
        <v>4958</v>
      </c>
      <c r="N1087" s="111" t="s">
        <v>1462</v>
      </c>
      <c r="O1087" s="111" t="s">
        <v>4959</v>
      </c>
      <c r="P1087" s="111" t="s">
        <v>647</v>
      </c>
      <c r="Q1087" s="111" t="s">
        <v>4960</v>
      </c>
      <c r="R1087" s="111">
        <v>55379</v>
      </c>
      <c r="S1087" s="111">
        <v>44.768566</v>
      </c>
      <c r="T1087" s="111">
        <v>-93.58202</v>
      </c>
      <c r="U1087" s="275" t="s">
        <v>378</v>
      </c>
      <c r="V1087" s="275" t="s">
        <v>4961</v>
      </c>
      <c r="W1087" s="261">
        <v>10000000</v>
      </c>
      <c r="X1087" s="255" t="s">
        <v>4938</v>
      </c>
      <c r="Y1087" s="275" t="s">
        <v>4962</v>
      </c>
      <c r="Z1087" s="275" t="s">
        <v>1322</v>
      </c>
      <c r="AA1087" s="275"/>
      <c r="AB1087" s="275" t="s">
        <v>1323</v>
      </c>
      <c r="AC1087" s="255" t="s">
        <v>51</v>
      </c>
      <c r="AD1087" s="255">
        <v>2025</v>
      </c>
    </row>
    <row r="1088" spans="1:31" hidden="1">
      <c r="A1088" s="111" t="s">
        <v>4955</v>
      </c>
      <c r="B1088" s="112">
        <v>45887</v>
      </c>
      <c r="C1088" s="111" t="s">
        <v>3869</v>
      </c>
      <c r="D1088" s="111" t="s">
        <v>4963</v>
      </c>
      <c r="E1088" s="111" t="s">
        <v>74</v>
      </c>
      <c r="F1088" s="111" t="s">
        <v>34</v>
      </c>
      <c r="G1088" s="263" t="s">
        <v>4964</v>
      </c>
      <c r="H1088" s="111" t="s">
        <v>131</v>
      </c>
      <c r="I1088" s="80">
        <v>80000000</v>
      </c>
      <c r="J1088" s="80">
        <v>70</v>
      </c>
      <c r="K1088" s="80"/>
      <c r="L1088" s="80">
        <v>61000</v>
      </c>
      <c r="M1088" s="111" t="s">
        <v>4965</v>
      </c>
      <c r="N1088" s="111" t="s">
        <v>48</v>
      </c>
      <c r="O1088" s="111" t="s">
        <v>4966</v>
      </c>
      <c r="P1088" s="111"/>
      <c r="Q1088" s="111" t="s">
        <v>4967</v>
      </c>
      <c r="R1088" s="111">
        <v>55065</v>
      </c>
      <c r="S1088" s="111">
        <v>44.529608000000003</v>
      </c>
      <c r="T1088" s="111">
        <v>-93.007329999999996</v>
      </c>
      <c r="U1088" s="111"/>
      <c r="V1088" s="111"/>
      <c r="W1088" s="80"/>
      <c r="X1088" s="111"/>
      <c r="Y1088" s="111"/>
      <c r="Z1088" s="111"/>
      <c r="AA1088" s="111"/>
      <c r="AB1088" s="111"/>
      <c r="AC1088" s="111" t="s">
        <v>51</v>
      </c>
      <c r="AD1088" s="111">
        <v>2025</v>
      </c>
      <c r="AE1088" s="111"/>
    </row>
    <row r="1089" spans="1:31" hidden="1">
      <c r="A1089" s="111" t="s">
        <v>4955</v>
      </c>
      <c r="B1089" s="112">
        <v>45895</v>
      </c>
      <c r="C1089" s="111" t="s">
        <v>4968</v>
      </c>
      <c r="D1089" s="111" t="s">
        <v>1302</v>
      </c>
      <c r="E1089" s="111" t="s">
        <v>66</v>
      </c>
      <c r="F1089" s="111" t="s">
        <v>34</v>
      </c>
      <c r="G1089" s="263" t="s">
        <v>4969</v>
      </c>
      <c r="H1089" s="111" t="s">
        <v>2159</v>
      </c>
      <c r="I1089" s="80">
        <v>54000000</v>
      </c>
      <c r="J1089" s="80"/>
      <c r="K1089" s="80"/>
      <c r="L1089" s="80">
        <v>35000</v>
      </c>
      <c r="M1089" s="111" t="s">
        <v>2754</v>
      </c>
      <c r="N1089" s="111" t="s">
        <v>48</v>
      </c>
      <c r="O1089" s="111" t="s">
        <v>4970</v>
      </c>
      <c r="P1089" s="111" t="s">
        <v>4971</v>
      </c>
      <c r="Q1089" s="111" t="s">
        <v>4972</v>
      </c>
      <c r="R1089" s="111">
        <v>55427</v>
      </c>
      <c r="S1089" s="111">
        <v>44.993982000000003</v>
      </c>
      <c r="T1089" s="111">
        <v>-93.392893000000001</v>
      </c>
      <c r="U1089" s="111"/>
      <c r="V1089" s="111"/>
      <c r="W1089" s="80"/>
      <c r="X1089" s="111"/>
      <c r="Y1089" s="111"/>
      <c r="Z1089" s="111"/>
      <c r="AA1089" s="111"/>
      <c r="AB1089" s="111"/>
      <c r="AC1089" s="111" t="s">
        <v>51</v>
      </c>
      <c r="AD1089" s="111">
        <v>2025</v>
      </c>
      <c r="AE1089" s="111"/>
    </row>
    <row r="1090" spans="1:31" s="255" customFormat="1" hidden="1">
      <c r="A1090" s="255" t="s">
        <v>4928</v>
      </c>
      <c r="B1090" s="256">
        <v>45693</v>
      </c>
      <c r="C1090" s="255" t="s">
        <v>4973</v>
      </c>
      <c r="D1090" s="255" t="s">
        <v>372</v>
      </c>
      <c r="E1090" s="255" t="s">
        <v>373</v>
      </c>
      <c r="F1090" s="257" t="s">
        <v>34</v>
      </c>
      <c r="G1090" s="276" t="s">
        <v>4974</v>
      </c>
      <c r="H1090" s="255" t="s">
        <v>131</v>
      </c>
      <c r="I1090" s="258">
        <v>35000000</v>
      </c>
      <c r="J1090" s="258">
        <v>128</v>
      </c>
      <c r="K1090" s="258"/>
      <c r="L1090" s="258">
        <v>280000</v>
      </c>
      <c r="M1090" s="2" t="s">
        <v>93</v>
      </c>
      <c r="N1090" s="2" t="s">
        <v>48</v>
      </c>
      <c r="O1090" s="2" t="s">
        <v>4975</v>
      </c>
      <c r="P1090" s="2" t="s">
        <v>4976</v>
      </c>
      <c r="Q1090" s="2" t="s">
        <v>4977</v>
      </c>
      <c r="R1090" s="2">
        <v>56001</v>
      </c>
      <c r="S1090" s="2">
        <v>44.181032999999999</v>
      </c>
      <c r="T1090" s="2">
        <v>-93.939030000000002</v>
      </c>
      <c r="U1090" s="255" t="s">
        <v>378</v>
      </c>
      <c r="V1090" s="255" t="s">
        <v>1306</v>
      </c>
      <c r="W1090" s="258">
        <v>500000</v>
      </c>
      <c r="X1090" s="255" t="s">
        <v>4938</v>
      </c>
      <c r="Y1090" s="275" t="s">
        <v>4978</v>
      </c>
      <c r="AB1090" s="255" t="s">
        <v>4979</v>
      </c>
      <c r="AC1090" s="255" t="s">
        <v>120</v>
      </c>
      <c r="AD1090" s="255">
        <f>YEAR(B1090)</f>
        <v>2025</v>
      </c>
      <c r="AE1090" s="255" t="s">
        <v>2319</v>
      </c>
    </row>
    <row r="1091" spans="1:31" hidden="1">
      <c r="A1091" s="2" t="s">
        <v>4916</v>
      </c>
      <c r="B1091" s="42">
        <v>45820</v>
      </c>
      <c r="C1091" s="2" t="s">
        <v>4980</v>
      </c>
      <c r="D1091" s="2" t="s">
        <v>270</v>
      </c>
      <c r="E1091" s="2" t="s">
        <v>99</v>
      </c>
      <c r="F1091" s="66" t="s">
        <v>34</v>
      </c>
      <c r="G1091" s="276" t="s">
        <v>4981</v>
      </c>
      <c r="I1091" s="29">
        <v>30000000</v>
      </c>
      <c r="J1091" s="5">
        <v>20</v>
      </c>
      <c r="K1091" s="5"/>
      <c r="M1091" s="2" t="s">
        <v>167</v>
      </c>
      <c r="N1091" s="2" t="s">
        <v>48</v>
      </c>
      <c r="O1091" s="2" t="s">
        <v>4982</v>
      </c>
      <c r="P1091" s="2" t="s">
        <v>4705</v>
      </c>
      <c r="Q1091" s="2" t="s">
        <v>4983</v>
      </c>
      <c r="R1091" s="2">
        <v>55112</v>
      </c>
      <c r="S1091" s="2">
        <v>45.055141999999996</v>
      </c>
      <c r="T1091" s="2">
        <v>-93.155147999999997</v>
      </c>
      <c r="W1091" s="29"/>
      <c r="AC1091" s="2" t="s">
        <v>51</v>
      </c>
      <c r="AD1091" s="2">
        <f>YEAR(B1091)</f>
        <v>2025</v>
      </c>
      <c r="AE1091" s="2" t="s">
        <v>2319</v>
      </c>
    </row>
    <row r="1092" spans="1:31" hidden="1">
      <c r="A1092" s="2" t="s">
        <v>4916</v>
      </c>
      <c r="B1092" s="42">
        <v>45830</v>
      </c>
      <c r="C1092" s="2" t="s">
        <v>1732</v>
      </c>
      <c r="D1092" s="2" t="s">
        <v>1733</v>
      </c>
      <c r="E1092" s="2" t="s">
        <v>1734</v>
      </c>
      <c r="F1092" s="66" t="s">
        <v>34</v>
      </c>
      <c r="G1092" s="263" t="s">
        <v>4984</v>
      </c>
      <c r="H1092" s="2" t="s">
        <v>4360</v>
      </c>
      <c r="I1092" s="5">
        <v>28000000</v>
      </c>
      <c r="J1092" s="5">
        <v>4</v>
      </c>
      <c r="K1092" s="5">
        <v>20</v>
      </c>
      <c r="L1092" s="5">
        <v>96000</v>
      </c>
      <c r="M1092" s="2" t="s">
        <v>4985</v>
      </c>
      <c r="N1092" s="2" t="s">
        <v>313</v>
      </c>
      <c r="O1092" s="2" t="s">
        <v>4986</v>
      </c>
      <c r="P1092" s="2" t="s">
        <v>4987</v>
      </c>
      <c r="R1092" s="2">
        <v>56277</v>
      </c>
      <c r="S1092" s="2">
        <v>44.760342999999999</v>
      </c>
      <c r="T1092" s="2">
        <v>-95.032640999999998</v>
      </c>
      <c r="W1092" s="5"/>
      <c r="Y1092" s="272" t="s">
        <v>1732</v>
      </c>
      <c r="Z1092" s="272" t="s">
        <v>1739</v>
      </c>
      <c r="AA1092" s="272" t="s">
        <v>1540</v>
      </c>
      <c r="AC1092" s="2" t="s">
        <v>41</v>
      </c>
      <c r="AD1092" s="2">
        <f>YEAR(B1092)</f>
        <v>2025</v>
      </c>
      <c r="AE1092" s="2" t="s">
        <v>2319</v>
      </c>
    </row>
    <row r="1093" spans="1:31" hidden="1">
      <c r="A1093" s="2" t="s">
        <v>4928</v>
      </c>
      <c r="B1093" s="42">
        <v>45742</v>
      </c>
      <c r="C1093" s="2" t="s">
        <v>4988</v>
      </c>
      <c r="D1093" s="2" t="s">
        <v>546</v>
      </c>
      <c r="E1093" s="2" t="s">
        <v>74</v>
      </c>
      <c r="F1093" s="66" t="s">
        <v>34</v>
      </c>
      <c r="G1093" s="263" t="s">
        <v>4989</v>
      </c>
      <c r="H1093" s="2" t="s">
        <v>3231</v>
      </c>
      <c r="I1093" s="29">
        <v>22000000</v>
      </c>
      <c r="J1093" s="29"/>
      <c r="K1093" s="29"/>
      <c r="L1093" s="29">
        <v>168000</v>
      </c>
      <c r="M1093" s="2" t="s">
        <v>93</v>
      </c>
      <c r="N1093" s="2" t="s">
        <v>48</v>
      </c>
      <c r="O1093" s="2" t="s">
        <v>4990</v>
      </c>
      <c r="P1093" s="2" t="s">
        <v>647</v>
      </c>
      <c r="Q1093" s="2" t="s">
        <v>4991</v>
      </c>
      <c r="R1093" s="2">
        <v>55044</v>
      </c>
      <c r="S1093" s="2">
        <v>44.635171999999997</v>
      </c>
      <c r="T1093" s="2">
        <v>-93.271928000000003</v>
      </c>
      <c r="W1093" s="29"/>
      <c r="AC1093" s="2" t="s">
        <v>51</v>
      </c>
      <c r="AD1093" s="2">
        <f>YEAR(B1093)</f>
        <v>2025</v>
      </c>
    </row>
    <row r="1094" spans="1:31" hidden="1">
      <c r="A1094" s="2" t="s">
        <v>4916</v>
      </c>
      <c r="B1094" s="42">
        <v>45813</v>
      </c>
      <c r="C1094" s="2" t="s">
        <v>4992</v>
      </c>
      <c r="D1094" s="2" t="s">
        <v>4993</v>
      </c>
      <c r="E1094" s="2" t="s">
        <v>952</v>
      </c>
      <c r="F1094" s="66" t="s">
        <v>34</v>
      </c>
      <c r="G1094" s="263" t="s">
        <v>4994</v>
      </c>
      <c r="H1094" s="2" t="s">
        <v>131</v>
      </c>
      <c r="I1094" s="5">
        <v>20000000</v>
      </c>
      <c r="K1094" s="5"/>
      <c r="L1094" s="277">
        <v>92000</v>
      </c>
      <c r="M1094" s="2" t="s">
        <v>496</v>
      </c>
      <c r="N1094" s="2" t="s">
        <v>48</v>
      </c>
      <c r="O1094" s="2" t="s">
        <v>4995</v>
      </c>
      <c r="P1094" s="2" t="s">
        <v>4705</v>
      </c>
      <c r="Q1094" s="2" t="s">
        <v>4996</v>
      </c>
      <c r="R1094" s="2">
        <v>56374</v>
      </c>
      <c r="S1094" s="2">
        <v>45.569350999999997</v>
      </c>
      <c r="T1094" s="2">
        <v>-94.275408999999996</v>
      </c>
      <c r="W1094" s="5"/>
      <c r="AC1094" s="2" t="s">
        <v>41</v>
      </c>
      <c r="AD1094" s="2">
        <f>YEAR(B1094)</f>
        <v>2025</v>
      </c>
      <c r="AE1094" s="2" t="s">
        <v>2319</v>
      </c>
    </row>
    <row r="1095" spans="1:31" hidden="1">
      <c r="A1095" s="238" t="s">
        <v>4933</v>
      </c>
      <c r="B1095" s="239">
        <v>45981</v>
      </c>
      <c r="C1095" s="238" t="s">
        <v>1460</v>
      </c>
      <c r="D1095" s="238" t="s">
        <v>625</v>
      </c>
      <c r="E1095" s="238" t="s">
        <v>182</v>
      </c>
      <c r="F1095" s="238" t="s">
        <v>34</v>
      </c>
      <c r="G1095" s="266" t="s">
        <v>4997</v>
      </c>
      <c r="H1095" s="238" t="s">
        <v>131</v>
      </c>
      <c r="I1095" s="244">
        <v>19000000</v>
      </c>
      <c r="J1095" s="241"/>
      <c r="K1095" s="241"/>
      <c r="L1095" s="241">
        <v>120000</v>
      </c>
      <c r="M1095" s="238" t="s">
        <v>93</v>
      </c>
      <c r="N1095" s="238" t="s">
        <v>48</v>
      </c>
      <c r="O1095" s="238" t="s">
        <v>4998</v>
      </c>
      <c r="P1095" s="238" t="s">
        <v>2597</v>
      </c>
      <c r="Q1095" s="247" t="s">
        <v>4483</v>
      </c>
      <c r="R1095" s="238">
        <v>56003</v>
      </c>
      <c r="S1095" s="238">
        <v>44.184099000000003</v>
      </c>
      <c r="T1095" s="238">
        <v>-94.050825000000003</v>
      </c>
      <c r="U1095" s="238"/>
      <c r="V1095" s="238"/>
      <c r="W1095" s="244"/>
      <c r="X1095" s="238" t="s">
        <v>2319</v>
      </c>
      <c r="Y1095" s="241" t="s">
        <v>4999</v>
      </c>
      <c r="Z1095" s="241" t="s">
        <v>1466</v>
      </c>
      <c r="AA1095" s="238"/>
      <c r="AB1095" s="241" t="s">
        <v>757</v>
      </c>
      <c r="AC1095" s="238" t="s">
        <v>120</v>
      </c>
      <c r="AD1095" s="250">
        <v>2025</v>
      </c>
      <c r="AE1095" s="238"/>
    </row>
    <row r="1096" spans="1:31" hidden="1">
      <c r="A1096" s="111" t="s">
        <v>4955</v>
      </c>
      <c r="B1096" s="112">
        <v>45895</v>
      </c>
      <c r="C1096" s="111" t="s">
        <v>5000</v>
      </c>
      <c r="D1096" s="111" t="s">
        <v>986</v>
      </c>
      <c r="E1096" s="111" t="s">
        <v>54</v>
      </c>
      <c r="F1096" s="111" t="s">
        <v>34</v>
      </c>
      <c r="G1096" s="263" t="s">
        <v>5001</v>
      </c>
      <c r="H1096" s="111" t="s">
        <v>131</v>
      </c>
      <c r="I1096" s="80">
        <v>12800000</v>
      </c>
      <c r="J1096" s="80"/>
      <c r="K1096" s="80"/>
      <c r="L1096" s="80">
        <v>151630</v>
      </c>
      <c r="M1096" s="111" t="s">
        <v>5002</v>
      </c>
      <c r="N1096" s="111" t="s">
        <v>48</v>
      </c>
      <c r="O1096" s="111" t="s">
        <v>5003</v>
      </c>
      <c r="P1096" s="111" t="s">
        <v>647</v>
      </c>
      <c r="Q1096" s="111" t="s">
        <v>5004</v>
      </c>
      <c r="R1096" s="111">
        <v>55317</v>
      </c>
      <c r="S1096" s="111">
        <v>44.860877000000002</v>
      </c>
      <c r="T1096" s="111">
        <v>-93.549944999999994</v>
      </c>
      <c r="U1096" s="111"/>
      <c r="V1096" s="111"/>
      <c r="W1096" s="80"/>
      <c r="X1096" s="111"/>
      <c r="Y1096" s="111"/>
      <c r="Z1096" s="111"/>
      <c r="AA1096" s="111"/>
      <c r="AB1096" s="111"/>
      <c r="AC1096" s="111" t="s">
        <v>51</v>
      </c>
      <c r="AD1096" s="111">
        <v>2025</v>
      </c>
      <c r="AE1096" s="111"/>
    </row>
    <row r="1097" spans="1:31" ht="18.75" hidden="1">
      <c r="A1097" s="2" t="s">
        <v>4916</v>
      </c>
      <c r="B1097" s="42">
        <v>45776</v>
      </c>
      <c r="C1097" s="2" t="s">
        <v>5005</v>
      </c>
      <c r="D1097" s="2" t="s">
        <v>270</v>
      </c>
      <c r="E1097" s="2" t="s">
        <v>123</v>
      </c>
      <c r="F1097" s="66" t="s">
        <v>34</v>
      </c>
      <c r="G1097" s="263" t="s">
        <v>5006</v>
      </c>
      <c r="H1097" s="2" t="s">
        <v>2422</v>
      </c>
      <c r="I1097" s="5">
        <v>12700000</v>
      </c>
      <c r="K1097" s="5"/>
      <c r="L1097" s="5">
        <v>157000</v>
      </c>
      <c r="M1097" s="2" t="s">
        <v>3742</v>
      </c>
      <c r="N1097" s="2" t="s">
        <v>48</v>
      </c>
      <c r="O1097" s="2" t="s">
        <v>5007</v>
      </c>
      <c r="P1097" s="2" t="s">
        <v>5008</v>
      </c>
      <c r="Q1097" s="207" t="s">
        <v>5009</v>
      </c>
      <c r="R1097" s="2">
        <v>56138</v>
      </c>
      <c r="S1097" s="2">
        <v>43.525185</v>
      </c>
      <c r="T1097" s="2">
        <v>-96.358365000000006</v>
      </c>
      <c r="W1097" s="5"/>
      <c r="AC1097" s="2" t="s">
        <v>120</v>
      </c>
      <c r="AD1097" s="2">
        <f>YEAR(B1097)</f>
        <v>2025</v>
      </c>
      <c r="AE1097" s="2" t="s">
        <v>2319</v>
      </c>
    </row>
    <row r="1098" spans="1:31" s="255" customFormat="1" hidden="1">
      <c r="A1098" s="255" t="s">
        <v>4955</v>
      </c>
      <c r="B1098" s="256">
        <v>45926</v>
      </c>
      <c r="C1098" s="255" t="s">
        <v>5010</v>
      </c>
      <c r="D1098" s="255" t="s">
        <v>99</v>
      </c>
      <c r="E1098" s="255" t="s">
        <v>677</v>
      </c>
      <c r="F1098" s="255" t="s">
        <v>34</v>
      </c>
      <c r="G1098" s="263" t="s">
        <v>5011</v>
      </c>
      <c r="H1098" s="255" t="s">
        <v>5012</v>
      </c>
      <c r="I1098" s="258">
        <v>11000000</v>
      </c>
      <c r="J1098" s="258">
        <v>55</v>
      </c>
      <c r="K1098" s="258"/>
      <c r="L1098" s="258">
        <v>58000</v>
      </c>
      <c r="M1098" s="111" t="s">
        <v>93</v>
      </c>
      <c r="N1098" s="111" t="s">
        <v>48</v>
      </c>
      <c r="O1098" s="111" t="s">
        <v>5013</v>
      </c>
      <c r="P1098" s="111" t="s">
        <v>5014</v>
      </c>
      <c r="Q1098" s="111" t="s">
        <v>5015</v>
      </c>
      <c r="R1098" s="111">
        <v>55303</v>
      </c>
      <c r="S1098" s="111">
        <v>45.225788000000001</v>
      </c>
      <c r="T1098" s="111">
        <v>-93.421735999999996</v>
      </c>
      <c r="U1098" s="255" t="s">
        <v>378</v>
      </c>
      <c r="V1098" s="255" t="s">
        <v>5016</v>
      </c>
      <c r="W1098" s="258">
        <v>800000</v>
      </c>
      <c r="Y1098" s="275" t="s">
        <v>5010</v>
      </c>
      <c r="Z1098" s="275" t="s">
        <v>5017</v>
      </c>
      <c r="AA1098" s="275" t="s">
        <v>322</v>
      </c>
      <c r="AC1098" s="255" t="s">
        <v>51</v>
      </c>
      <c r="AD1098" s="255">
        <v>2025</v>
      </c>
    </row>
    <row r="1099" spans="1:31" hidden="1">
      <c r="A1099" s="2" t="s">
        <v>4928</v>
      </c>
      <c r="B1099" s="42">
        <v>45701</v>
      </c>
      <c r="C1099" s="2" t="s">
        <v>5018</v>
      </c>
      <c r="D1099" s="2" t="s">
        <v>4700</v>
      </c>
      <c r="E1099" s="2" t="s">
        <v>66</v>
      </c>
      <c r="F1099" s="66" t="s">
        <v>34</v>
      </c>
      <c r="G1099" s="263" t="s">
        <v>5019</v>
      </c>
      <c r="I1099" s="5">
        <f>10000000</f>
        <v>10000000</v>
      </c>
      <c r="J1099" s="5">
        <v>200</v>
      </c>
      <c r="K1099" s="5"/>
      <c r="N1099" s="2" t="s">
        <v>77</v>
      </c>
      <c r="O1099" s="2" t="s">
        <v>5020</v>
      </c>
      <c r="P1099" s="2" t="s">
        <v>4705</v>
      </c>
      <c r="Q1099" s="2" t="s">
        <v>5021</v>
      </c>
      <c r="R1099" s="2">
        <v>55421</v>
      </c>
      <c r="S1099" s="2">
        <v>45.025390000000002</v>
      </c>
      <c r="T1099" s="2">
        <v>-93.269240999999994</v>
      </c>
      <c r="W1099" s="5"/>
      <c r="AC1099" s="2" t="s">
        <v>51</v>
      </c>
      <c r="AD1099" s="2">
        <f>YEAR(B1099)</f>
        <v>2025</v>
      </c>
    </row>
    <row r="1100" spans="1:31" hidden="1">
      <c r="A1100" s="2" t="s">
        <v>4928</v>
      </c>
      <c r="B1100" s="42">
        <v>45716</v>
      </c>
      <c r="C1100" s="2" t="s">
        <v>5022</v>
      </c>
      <c r="D1100" s="2" t="s">
        <v>340</v>
      </c>
      <c r="E1100" s="2" t="s">
        <v>66</v>
      </c>
      <c r="F1100" s="66" t="s">
        <v>34</v>
      </c>
      <c r="G1100" s="263" t="s">
        <v>5023</v>
      </c>
      <c r="H1100" s="2" t="s">
        <v>2945</v>
      </c>
      <c r="I1100" s="35">
        <v>9900000</v>
      </c>
      <c r="J1100" s="29"/>
      <c r="K1100" s="29"/>
      <c r="L1100" s="29">
        <v>160000</v>
      </c>
      <c r="M1100" s="2" t="s">
        <v>2754</v>
      </c>
      <c r="N1100" s="2" t="s">
        <v>48</v>
      </c>
      <c r="O1100" s="2" t="s">
        <v>5024</v>
      </c>
      <c r="P1100" s="2" t="s">
        <v>647</v>
      </c>
      <c r="Q1100" s="2" t="s">
        <v>5025</v>
      </c>
      <c r="R1100" s="2">
        <v>55441</v>
      </c>
      <c r="S1100" s="2">
        <v>45.010519000000002</v>
      </c>
      <c r="T1100" s="2">
        <v>-93.455509000000006</v>
      </c>
      <c r="W1100" s="29"/>
      <c r="AC1100" s="2" t="s">
        <v>51</v>
      </c>
      <c r="AD1100" s="2">
        <f>YEAR(B1100)</f>
        <v>2025</v>
      </c>
    </row>
    <row r="1101" spans="1:31" s="255" customFormat="1" hidden="1">
      <c r="A1101" s="255" t="s">
        <v>4916</v>
      </c>
      <c r="B1101" s="256">
        <v>45834</v>
      </c>
      <c r="C1101" s="255" t="s">
        <v>5026</v>
      </c>
      <c r="D1101" s="255" t="s">
        <v>2871</v>
      </c>
      <c r="E1101" s="255" t="s">
        <v>1557</v>
      </c>
      <c r="F1101" s="257" t="s">
        <v>34</v>
      </c>
      <c r="G1101" s="263" t="s">
        <v>5027</v>
      </c>
      <c r="H1101" s="255" t="s">
        <v>131</v>
      </c>
      <c r="I1101" s="259">
        <v>9500000</v>
      </c>
      <c r="J1101" s="258">
        <v>50</v>
      </c>
      <c r="K1101" s="258"/>
      <c r="L1101" s="258"/>
      <c r="M1101" s="2" t="s">
        <v>93</v>
      </c>
      <c r="N1101" s="2" t="s">
        <v>48</v>
      </c>
      <c r="O1101" s="2" t="s">
        <v>5028</v>
      </c>
      <c r="P1101" s="2" t="s">
        <v>658</v>
      </c>
      <c r="Q1101" s="187" t="s">
        <v>5029</v>
      </c>
      <c r="R1101" s="2">
        <v>55056</v>
      </c>
      <c r="S1101" s="2">
        <v>45.512663000000003</v>
      </c>
      <c r="T1101" s="2">
        <v>-92.978496000000007</v>
      </c>
      <c r="U1101" s="255" t="s">
        <v>378</v>
      </c>
      <c r="V1101" s="255" t="s">
        <v>5030</v>
      </c>
      <c r="W1101" s="258">
        <v>1050860</v>
      </c>
      <c r="AC1101" s="255" t="s">
        <v>41</v>
      </c>
      <c r="AD1101" s="255">
        <f>YEAR(B1101)</f>
        <v>2025</v>
      </c>
      <c r="AE1101" s="255" t="s">
        <v>2319</v>
      </c>
    </row>
    <row r="1102" spans="1:31" hidden="1">
      <c r="A1102" s="2" t="s">
        <v>4916</v>
      </c>
      <c r="B1102" s="42">
        <v>45825</v>
      </c>
      <c r="C1102" s="2" t="s">
        <v>5031</v>
      </c>
      <c r="D1102" s="2" t="s">
        <v>1952</v>
      </c>
      <c r="E1102" s="2" t="s">
        <v>74</v>
      </c>
      <c r="F1102" s="66" t="s">
        <v>34</v>
      </c>
      <c r="G1102" s="263" t="s">
        <v>5032</v>
      </c>
      <c r="H1102" s="2" t="s">
        <v>3231</v>
      </c>
      <c r="I1102" s="29">
        <v>8600000</v>
      </c>
      <c r="K1102" s="5"/>
      <c r="M1102" s="2" t="s">
        <v>2090</v>
      </c>
      <c r="N1102" s="2" t="s">
        <v>48</v>
      </c>
      <c r="O1102" s="2" t="s">
        <v>5033</v>
      </c>
      <c r="P1102" s="2" t="s">
        <v>647</v>
      </c>
      <c r="Q1102" s="2" t="s">
        <v>5034</v>
      </c>
      <c r="R1102" s="2">
        <v>55076</v>
      </c>
      <c r="S1102" s="2">
        <v>44.860501999999997</v>
      </c>
      <c r="T1102" s="2">
        <v>-93.039316999999997</v>
      </c>
      <c r="W1102" s="29"/>
      <c r="AC1102" s="2" t="s">
        <v>51</v>
      </c>
      <c r="AD1102" s="2">
        <f>YEAR(B1102)</f>
        <v>2025</v>
      </c>
      <c r="AE1102" s="2" t="s">
        <v>2319</v>
      </c>
    </row>
    <row r="1103" spans="1:31" s="255" customFormat="1" hidden="1">
      <c r="A1103" s="255" t="s">
        <v>4916</v>
      </c>
      <c r="B1103" s="256">
        <v>45834</v>
      </c>
      <c r="C1103" s="255" t="s">
        <v>5035</v>
      </c>
      <c r="D1103" s="255" t="s">
        <v>951</v>
      </c>
      <c r="E1103" s="255" t="s">
        <v>952</v>
      </c>
      <c r="F1103" s="257" t="s">
        <v>34</v>
      </c>
      <c r="G1103" s="263" t="s">
        <v>5036</v>
      </c>
      <c r="H1103" s="255" t="s">
        <v>2130</v>
      </c>
      <c r="I1103" s="258">
        <v>7759833</v>
      </c>
      <c r="J1103" s="258">
        <v>15</v>
      </c>
      <c r="K1103" s="258"/>
      <c r="L1103" s="258">
        <v>42000</v>
      </c>
      <c r="M1103" s="2" t="s">
        <v>574</v>
      </c>
      <c r="N1103" s="2" t="s">
        <v>48</v>
      </c>
      <c r="O1103" s="2" t="s">
        <v>5037</v>
      </c>
      <c r="P1103" s="2" t="s">
        <v>5038</v>
      </c>
      <c r="Q1103" s="2" t="s">
        <v>2779</v>
      </c>
      <c r="R1103" s="2">
        <v>56362</v>
      </c>
      <c r="S1103" s="2">
        <v>45.385015000000003</v>
      </c>
      <c r="T1103" s="2">
        <v>-94.705899000000002</v>
      </c>
      <c r="U1103" s="255" t="s">
        <v>378</v>
      </c>
      <c r="V1103" s="255" t="s">
        <v>5039</v>
      </c>
      <c r="W1103" s="258">
        <f>175000+325000</f>
        <v>500000</v>
      </c>
      <c r="AC1103" s="255" t="s">
        <v>41</v>
      </c>
      <c r="AD1103" s="255">
        <f>YEAR(B1103)</f>
        <v>2025</v>
      </c>
      <c r="AE1103" s="255" t="s">
        <v>2319</v>
      </c>
    </row>
    <row r="1104" spans="1:31" hidden="1">
      <c r="A1104" s="238" t="s">
        <v>4933</v>
      </c>
      <c r="B1104" s="239">
        <v>45938</v>
      </c>
      <c r="C1104" s="238" t="s">
        <v>5040</v>
      </c>
      <c r="D1104" s="238" t="s">
        <v>73</v>
      </c>
      <c r="E1104" s="238" t="s">
        <v>74</v>
      </c>
      <c r="F1104" s="238" t="s">
        <v>34</v>
      </c>
      <c r="G1104" s="238" t="s">
        <v>5041</v>
      </c>
      <c r="H1104" s="238" t="s">
        <v>3210</v>
      </c>
      <c r="I1104" s="244">
        <v>7000000</v>
      </c>
      <c r="J1104" s="241">
        <v>6</v>
      </c>
      <c r="K1104" s="241">
        <v>13</v>
      </c>
      <c r="L1104" s="241">
        <v>32600</v>
      </c>
      <c r="M1104" s="238" t="s">
        <v>2754</v>
      </c>
      <c r="N1104" s="238" t="s">
        <v>48</v>
      </c>
      <c r="O1104" s="238" t="s">
        <v>114</v>
      </c>
      <c r="P1104" s="238" t="s">
        <v>658</v>
      </c>
      <c r="Q1104" s="238" t="s">
        <v>5042</v>
      </c>
      <c r="R1104" s="238">
        <v>55075</v>
      </c>
      <c r="S1104" s="238">
        <v>44.864185999999997</v>
      </c>
      <c r="T1104" s="238">
        <v>-93.023275999999996</v>
      </c>
      <c r="U1104" s="238" t="s">
        <v>378</v>
      </c>
      <c r="V1104" s="238" t="s">
        <v>5043</v>
      </c>
      <c r="W1104" s="244"/>
      <c r="X1104" s="238"/>
      <c r="Y1104" s="238"/>
      <c r="Z1104" s="238"/>
      <c r="AA1104" s="238"/>
      <c r="AB1104" s="238"/>
      <c r="AC1104" s="238" t="s">
        <v>51</v>
      </c>
      <c r="AD1104" s="250">
        <v>2025</v>
      </c>
      <c r="AE1104" s="238"/>
    </row>
    <row r="1105" spans="1:31" hidden="1">
      <c r="A1105" s="2" t="s">
        <v>4916</v>
      </c>
      <c r="B1105" s="42">
        <v>45835</v>
      </c>
      <c r="C1105" s="2" t="s">
        <v>5044</v>
      </c>
      <c r="D1105" s="2" t="s">
        <v>373</v>
      </c>
      <c r="E1105" s="2" t="s">
        <v>467</v>
      </c>
      <c r="F1105" s="2" t="s">
        <v>34</v>
      </c>
      <c r="G1105" s="2" t="s">
        <v>5045</v>
      </c>
      <c r="H1105" s="2" t="s">
        <v>5046</v>
      </c>
      <c r="I1105" s="5">
        <v>6510000</v>
      </c>
      <c r="J1105" s="5">
        <v>6</v>
      </c>
      <c r="K1105" s="5"/>
      <c r="L1105" s="5">
        <v>37000</v>
      </c>
      <c r="M1105" s="2" t="s">
        <v>5002</v>
      </c>
      <c r="N1105" s="2" t="s">
        <v>48</v>
      </c>
      <c r="O1105" s="2" t="s">
        <v>5047</v>
      </c>
      <c r="P1105" s="2" t="s">
        <v>5048</v>
      </c>
      <c r="Q1105" s="2" t="s">
        <v>5049</v>
      </c>
      <c r="R1105" s="2">
        <v>56013</v>
      </c>
      <c r="S1105" s="2">
        <v>43.647919000000002</v>
      </c>
      <c r="T1105" s="2">
        <v>-94.126543999999996</v>
      </c>
      <c r="U1105" s="2" t="s">
        <v>378</v>
      </c>
      <c r="V1105" s="2" t="s">
        <v>5050</v>
      </c>
      <c r="W1105" s="5">
        <v>570838</v>
      </c>
      <c r="AC1105" s="2" t="s">
        <v>120</v>
      </c>
      <c r="AD1105" s="2">
        <v>2025</v>
      </c>
    </row>
    <row r="1106" spans="1:31" hidden="1">
      <c r="A1106" s="2" t="s">
        <v>4916</v>
      </c>
      <c r="B1106" s="42">
        <v>45772</v>
      </c>
      <c r="C1106" s="2" t="s">
        <v>3314</v>
      </c>
      <c r="D1106" s="2" t="s">
        <v>174</v>
      </c>
      <c r="E1106" s="2" t="s">
        <v>66</v>
      </c>
      <c r="F1106" s="66" t="s">
        <v>34</v>
      </c>
      <c r="G1106" s="2" t="s">
        <v>5051</v>
      </c>
      <c r="H1106" s="2" t="s">
        <v>3231</v>
      </c>
      <c r="I1106" s="5">
        <v>6300000</v>
      </c>
      <c r="K1106" s="5"/>
      <c r="L1106" s="5">
        <v>20000</v>
      </c>
      <c r="M1106" s="272" t="s">
        <v>4702</v>
      </c>
      <c r="N1106" s="272" t="s">
        <v>86</v>
      </c>
      <c r="O1106" s="2" t="s">
        <v>5052</v>
      </c>
      <c r="P1106" s="2" t="s">
        <v>4705</v>
      </c>
      <c r="Q1106" s="2" t="s">
        <v>5053</v>
      </c>
      <c r="R1106" s="2">
        <v>55428</v>
      </c>
      <c r="S1106" s="2">
        <v>45.092261999999998</v>
      </c>
      <c r="T1106" s="2">
        <v>-93.398645999999999</v>
      </c>
      <c r="W1106" s="5"/>
      <c r="AC1106" s="2" t="s">
        <v>51</v>
      </c>
      <c r="AD1106" s="2">
        <f>YEAR(B1106)</f>
        <v>2025</v>
      </c>
      <c r="AE1106" s="2" t="s">
        <v>2319</v>
      </c>
    </row>
    <row r="1107" spans="1:31" hidden="1">
      <c r="A1107" s="111" t="s">
        <v>4955</v>
      </c>
      <c r="B1107" s="112">
        <v>45919</v>
      </c>
      <c r="C1107" s="113" t="s">
        <v>5054</v>
      </c>
      <c r="D1107" s="113" t="s">
        <v>5055</v>
      </c>
      <c r="E1107" s="111" t="s">
        <v>5055</v>
      </c>
      <c r="F1107" s="111" t="s">
        <v>34</v>
      </c>
      <c r="G1107" s="111" t="s">
        <v>5056</v>
      </c>
      <c r="H1107" s="114"/>
      <c r="J1107" s="115">
        <v>10</v>
      </c>
      <c r="K1107" s="111">
        <v>15</v>
      </c>
      <c r="L1107" s="111"/>
      <c r="M1107" s="111" t="s">
        <v>5057</v>
      </c>
      <c r="N1107" s="111" t="s">
        <v>4763</v>
      </c>
      <c r="O1107" s="111" t="s">
        <v>114</v>
      </c>
      <c r="P1107" s="111" t="s">
        <v>658</v>
      </c>
      <c r="Q1107" s="111" t="s">
        <v>5058</v>
      </c>
      <c r="R1107" s="111">
        <v>55981</v>
      </c>
      <c r="S1107" s="111">
        <v>44.376733000000002</v>
      </c>
      <c r="T1107" s="111">
        <v>-92.043097000000003</v>
      </c>
      <c r="U1107" s="111" t="s">
        <v>378</v>
      </c>
      <c r="V1107" s="111" t="s">
        <v>287</v>
      </c>
      <c r="W1107" s="114">
        <v>748788</v>
      </c>
      <c r="X1107" s="111"/>
      <c r="Y1107" s="111"/>
      <c r="Z1107" s="111"/>
      <c r="AA1107" s="111"/>
      <c r="AB1107" s="111"/>
      <c r="AC1107" s="111" t="s">
        <v>120</v>
      </c>
      <c r="AD1107" s="111">
        <v>2025</v>
      </c>
      <c r="AE1107" s="111"/>
    </row>
    <row r="1108" spans="1:31" hidden="1">
      <c r="A1108" s="2" t="s">
        <v>4928</v>
      </c>
      <c r="B1108" s="42">
        <v>45692</v>
      </c>
      <c r="C1108" s="2" t="s">
        <v>5059</v>
      </c>
      <c r="D1108" s="2" t="s">
        <v>5060</v>
      </c>
      <c r="E1108" s="2" t="s">
        <v>677</v>
      </c>
      <c r="F1108" s="66" t="s">
        <v>34</v>
      </c>
      <c r="G1108" s="2" t="s">
        <v>5061</v>
      </c>
      <c r="H1108" s="2" t="s">
        <v>3231</v>
      </c>
      <c r="I1108" s="5">
        <v>5100000</v>
      </c>
      <c r="K1108" s="5"/>
      <c r="N1108" s="2" t="s">
        <v>313</v>
      </c>
      <c r="O1108" s="2" t="s">
        <v>5062</v>
      </c>
      <c r="P1108" s="2" t="s">
        <v>647</v>
      </c>
      <c r="Q1108" s="206" t="s">
        <v>5063</v>
      </c>
      <c r="R1108" s="2">
        <v>55304</v>
      </c>
      <c r="S1108" s="2">
        <v>45.228043999999997</v>
      </c>
      <c r="T1108" s="2">
        <v>-93.237540999999993</v>
      </c>
      <c r="W1108" s="5"/>
      <c r="AC1108" s="2" t="s">
        <v>51</v>
      </c>
      <c r="AD1108" s="2">
        <f>YEAR(B1108)</f>
        <v>2025</v>
      </c>
    </row>
    <row r="1109" spans="1:31" hidden="1">
      <c r="A1109" s="2" t="s">
        <v>4916</v>
      </c>
      <c r="B1109" s="42">
        <v>45834</v>
      </c>
      <c r="C1109" s="2" t="s">
        <v>4559</v>
      </c>
      <c r="D1109" s="2" t="s">
        <v>2871</v>
      </c>
      <c r="E1109" s="2" t="s">
        <v>1557</v>
      </c>
      <c r="F1109" s="66" t="s">
        <v>34</v>
      </c>
      <c r="G1109" s="2" t="s">
        <v>5064</v>
      </c>
      <c r="H1109" s="2" t="s">
        <v>131</v>
      </c>
      <c r="I1109" s="5">
        <v>5000000</v>
      </c>
      <c r="J1109" s="5">
        <v>50</v>
      </c>
      <c r="K1109" s="5"/>
      <c r="M1109" s="2" t="s">
        <v>3077</v>
      </c>
      <c r="N1109" s="2" t="s">
        <v>48</v>
      </c>
      <c r="O1109" s="2" t="s">
        <v>5028</v>
      </c>
      <c r="P1109" s="2" t="s">
        <v>658</v>
      </c>
      <c r="Q1109" s="187" t="s">
        <v>5029</v>
      </c>
      <c r="R1109" s="2">
        <v>55056</v>
      </c>
      <c r="S1109" s="2">
        <v>45.512663000000003</v>
      </c>
      <c r="T1109" s="2">
        <v>-92.978496000000007</v>
      </c>
      <c r="U1109" s="2" t="s">
        <v>378</v>
      </c>
      <c r="V1109" s="2" t="s">
        <v>5030</v>
      </c>
      <c r="W1109" s="5">
        <v>1050860</v>
      </c>
      <c r="AC1109" s="2" t="s">
        <v>41</v>
      </c>
      <c r="AD1109" s="2">
        <f>YEAR(B1109)</f>
        <v>2025</v>
      </c>
      <c r="AE1109" s="2" t="s">
        <v>2319</v>
      </c>
    </row>
    <row r="1110" spans="1:31" hidden="1">
      <c r="A1110" s="273" t="s">
        <v>4955</v>
      </c>
      <c r="B1110" s="278">
        <v>45915</v>
      </c>
      <c r="C1110" s="272" t="s">
        <v>5065</v>
      </c>
      <c r="D1110" s="272" t="s">
        <v>53</v>
      </c>
      <c r="E1110" s="279" t="s">
        <v>54</v>
      </c>
      <c r="F1110" s="279" t="s">
        <v>34</v>
      </c>
      <c r="G1110" s="279" t="s">
        <v>5066</v>
      </c>
      <c r="H1110" s="279"/>
      <c r="I1110" s="271">
        <v>5000000</v>
      </c>
      <c r="J1110" s="5">
        <v>35</v>
      </c>
      <c r="K1110" s="271"/>
      <c r="L1110" s="279"/>
      <c r="M1110" s="272" t="s">
        <v>93</v>
      </c>
      <c r="N1110" s="272" t="s">
        <v>48</v>
      </c>
      <c r="O1110" s="279" t="s">
        <v>5067</v>
      </c>
      <c r="P1110" s="272" t="s">
        <v>5068</v>
      </c>
      <c r="Q1110" s="279" t="s">
        <v>5069</v>
      </c>
      <c r="R1110" s="279">
        <v>55318</v>
      </c>
      <c r="S1110" s="279">
        <v>44.842331000000001</v>
      </c>
      <c r="T1110" s="279">
        <v>-93.598613</v>
      </c>
      <c r="U1110" s="272" t="s">
        <v>378</v>
      </c>
      <c r="V1110" s="279" t="s">
        <v>5070</v>
      </c>
      <c r="W1110" s="279">
        <v>220000</v>
      </c>
      <c r="X1110" s="279"/>
      <c r="Y1110" s="272" t="s">
        <v>5065</v>
      </c>
      <c r="Z1110" s="272" t="s">
        <v>5071</v>
      </c>
      <c r="AA1110" s="279" t="s">
        <v>5072</v>
      </c>
      <c r="AB1110" s="279"/>
      <c r="AC1110" s="272" t="s">
        <v>51</v>
      </c>
      <c r="AD1110" s="250">
        <v>2025</v>
      </c>
      <c r="AE1110" s="279"/>
    </row>
    <row r="1111" spans="1:31" hidden="1">
      <c r="A1111" s="2" t="s">
        <v>4928</v>
      </c>
      <c r="B1111" s="42">
        <v>45681</v>
      </c>
      <c r="C1111" s="2" t="s">
        <v>5073</v>
      </c>
      <c r="D1111" s="2" t="s">
        <v>281</v>
      </c>
      <c r="E1111" s="2" t="s">
        <v>282</v>
      </c>
      <c r="F1111" s="66" t="s">
        <v>34</v>
      </c>
      <c r="G1111" s="2" t="s">
        <v>5074</v>
      </c>
      <c r="H1111" s="2" t="s">
        <v>3231</v>
      </c>
      <c r="I1111" s="5">
        <v>4646500</v>
      </c>
      <c r="K1111" s="5"/>
      <c r="L1111" s="5">
        <v>60000</v>
      </c>
      <c r="M1111" s="2" t="s">
        <v>93</v>
      </c>
      <c r="N1111" s="2" t="s">
        <v>48</v>
      </c>
      <c r="O1111" s="2" t="s">
        <v>5075</v>
      </c>
      <c r="P1111" s="2" t="s">
        <v>647</v>
      </c>
      <c r="Q1111" s="2" t="s">
        <v>5076</v>
      </c>
      <c r="R1111" s="2">
        <v>55350</v>
      </c>
      <c r="S1111" s="2">
        <v>44.875565000000002</v>
      </c>
      <c r="T1111" s="2">
        <v>-94.266332000000006</v>
      </c>
      <c r="W1111" s="5"/>
      <c r="AC1111" s="2" t="s">
        <v>41</v>
      </c>
      <c r="AD1111" s="2">
        <f>YEAR(B1111)</f>
        <v>2025</v>
      </c>
    </row>
    <row r="1112" spans="1:31" hidden="1">
      <c r="A1112" s="2" t="s">
        <v>4928</v>
      </c>
      <c r="B1112" s="42">
        <v>45686</v>
      </c>
      <c r="C1112" s="2" t="s">
        <v>5077</v>
      </c>
      <c r="D1112" s="2" t="s">
        <v>340</v>
      </c>
      <c r="E1112" s="2" t="s">
        <v>66</v>
      </c>
      <c r="F1112" s="66" t="s">
        <v>34</v>
      </c>
      <c r="G1112" s="2" t="s">
        <v>5078</v>
      </c>
      <c r="H1112" s="2" t="s">
        <v>2159</v>
      </c>
      <c r="I1112" s="5">
        <v>4513000</v>
      </c>
      <c r="J1112" s="2">
        <v>16</v>
      </c>
      <c r="L1112" s="2">
        <f>2517+11248</f>
        <v>13765</v>
      </c>
      <c r="M1112" s="2" t="s">
        <v>2336</v>
      </c>
      <c r="N1112" s="2" t="s">
        <v>86</v>
      </c>
      <c r="O1112" s="2" t="s">
        <v>5079</v>
      </c>
      <c r="P1112" s="2" t="s">
        <v>4705</v>
      </c>
      <c r="R1112" s="2">
        <v>55441</v>
      </c>
      <c r="S1112" s="2">
        <v>45.010519000000002</v>
      </c>
      <c r="T1112" s="2">
        <v>-93.455509000000006</v>
      </c>
      <c r="U1112" s="2" t="s">
        <v>378</v>
      </c>
      <c r="V1112" s="2" t="s">
        <v>5080</v>
      </c>
      <c r="W1112" s="29">
        <v>275000</v>
      </c>
      <c r="X1112" s="2" t="s">
        <v>4938</v>
      </c>
      <c r="Y1112" s="2" t="s">
        <v>5081</v>
      </c>
      <c r="Z1112" s="2" t="s">
        <v>5082</v>
      </c>
      <c r="AB1112" s="2" t="s">
        <v>347</v>
      </c>
      <c r="AC1112" s="2" t="s">
        <v>51</v>
      </c>
      <c r="AD1112" s="2">
        <f>YEAR(B1112)</f>
        <v>2025</v>
      </c>
    </row>
    <row r="1113" spans="1:31" hidden="1">
      <c r="A1113" s="2" t="s">
        <v>4928</v>
      </c>
      <c r="B1113" s="42">
        <v>45679</v>
      </c>
      <c r="C1113" s="2" t="s">
        <v>5083</v>
      </c>
      <c r="D1113" s="2" t="s">
        <v>5084</v>
      </c>
      <c r="E1113" s="2" t="s">
        <v>952</v>
      </c>
      <c r="F1113" s="66" t="s">
        <v>34</v>
      </c>
      <c r="G1113" s="2" t="s">
        <v>5085</v>
      </c>
      <c r="H1113" s="2" t="s">
        <v>131</v>
      </c>
      <c r="I1113" s="5">
        <v>4200000</v>
      </c>
      <c r="K1113" s="5"/>
      <c r="L1113" s="5">
        <v>19000</v>
      </c>
      <c r="M1113" s="2" t="s">
        <v>4965</v>
      </c>
      <c r="N1113" s="2" t="s">
        <v>48</v>
      </c>
      <c r="O1113" s="2" t="s">
        <v>5086</v>
      </c>
      <c r="P1113" s="2" t="s">
        <v>5087</v>
      </c>
      <c r="Q1113" s="2" t="s">
        <v>5088</v>
      </c>
      <c r="R1113" s="2">
        <v>56374</v>
      </c>
      <c r="S1113" s="2">
        <v>45.575485999999998</v>
      </c>
      <c r="T1113" s="2">
        <v>-94.311665000000005</v>
      </c>
      <c r="W1113" s="5"/>
      <c r="AC1113" s="2" t="s">
        <v>41</v>
      </c>
      <c r="AD1113" s="2">
        <f>YEAR(B1113)</f>
        <v>2025</v>
      </c>
    </row>
    <row r="1114" spans="1:31" hidden="1">
      <c r="A1114" s="2" t="s">
        <v>4916</v>
      </c>
      <c r="B1114" s="42">
        <v>45828</v>
      </c>
      <c r="C1114" s="2" t="s">
        <v>5089</v>
      </c>
      <c r="D1114" s="2" t="s">
        <v>5090</v>
      </c>
      <c r="E1114" s="2" t="s">
        <v>373</v>
      </c>
      <c r="F1114" s="66" t="s">
        <v>34</v>
      </c>
      <c r="G1114" s="2" t="s">
        <v>5091</v>
      </c>
      <c r="H1114" s="2" t="s">
        <v>3231</v>
      </c>
      <c r="I1114" s="5">
        <v>3500000</v>
      </c>
      <c r="J1114" s="5">
        <v>30</v>
      </c>
      <c r="L1114" s="5">
        <v>52000</v>
      </c>
      <c r="N1114" s="2" t="s">
        <v>77</v>
      </c>
      <c r="P1114" s="2" t="s">
        <v>658</v>
      </c>
      <c r="Q1114" s="187" t="s">
        <v>5092</v>
      </c>
      <c r="R1114" s="2">
        <v>56010</v>
      </c>
      <c r="S1114" s="2">
        <v>43.893642</v>
      </c>
      <c r="T1114" s="2">
        <v>-94.157951999999995</v>
      </c>
      <c r="U1114" s="2" t="s">
        <v>378</v>
      </c>
      <c r="V1114" s="2" t="s">
        <v>5093</v>
      </c>
      <c r="W1114" s="5">
        <v>831800</v>
      </c>
      <c r="AC1114" s="2" t="s">
        <v>120</v>
      </c>
      <c r="AD1114" s="2">
        <f>YEAR(B1114)</f>
        <v>2025</v>
      </c>
      <c r="AE1114" s="2" t="s">
        <v>2319</v>
      </c>
    </row>
    <row r="1115" spans="1:31" hidden="1">
      <c r="A1115" s="238" t="s">
        <v>4933</v>
      </c>
      <c r="B1115" s="239">
        <v>45947</v>
      </c>
      <c r="C1115" s="238" t="s">
        <v>5094</v>
      </c>
      <c r="D1115" s="238" t="s">
        <v>40</v>
      </c>
      <c r="E1115" s="238" t="s">
        <v>952</v>
      </c>
      <c r="F1115" s="238" t="s">
        <v>34</v>
      </c>
      <c r="G1115" s="238" t="s">
        <v>5095</v>
      </c>
      <c r="H1115" s="238" t="s">
        <v>2079</v>
      </c>
      <c r="I1115" s="244">
        <v>2300000</v>
      </c>
      <c r="J1115" s="241"/>
      <c r="K1115" s="241"/>
      <c r="L1115" s="241">
        <v>2840</v>
      </c>
      <c r="M1115" s="238" t="s">
        <v>167</v>
      </c>
      <c r="N1115" s="238" t="s">
        <v>48</v>
      </c>
      <c r="O1115" s="238" t="s">
        <v>3323</v>
      </c>
      <c r="P1115" s="238" t="s">
        <v>4864</v>
      </c>
      <c r="Q1115" s="238" t="s">
        <v>5096</v>
      </c>
      <c r="R1115" s="238">
        <v>56303</v>
      </c>
      <c r="S1115" s="238">
        <v>45.559269999999998</v>
      </c>
      <c r="T1115" s="238">
        <v>-94.249661000000003</v>
      </c>
      <c r="U1115" s="238"/>
      <c r="V1115" s="238"/>
      <c r="W1115" s="238"/>
      <c r="X1115" s="238"/>
      <c r="Y1115" s="238"/>
      <c r="Z1115" s="238"/>
      <c r="AA1115" s="238"/>
      <c r="AB1115" s="238"/>
      <c r="AC1115" s="238" t="s">
        <v>41</v>
      </c>
      <c r="AD1115" s="250">
        <v>2025</v>
      </c>
      <c r="AE1115" s="238"/>
    </row>
    <row r="1116" spans="1:31" hidden="1">
      <c r="A1116" s="2" t="s">
        <v>4928</v>
      </c>
      <c r="B1116" s="42">
        <v>45692</v>
      </c>
      <c r="C1116" s="2" t="s">
        <v>4435</v>
      </c>
      <c r="D1116" s="2" t="s">
        <v>528</v>
      </c>
      <c r="E1116" s="2" t="s">
        <v>66</v>
      </c>
      <c r="F1116" s="66" t="s">
        <v>34</v>
      </c>
      <c r="G1116" s="2" t="s">
        <v>5097</v>
      </c>
      <c r="H1116" s="2" t="s">
        <v>2079</v>
      </c>
      <c r="I1116" s="5">
        <v>1920000</v>
      </c>
      <c r="J1116" s="29"/>
      <c r="K1116" s="29"/>
      <c r="L1116" s="29"/>
      <c r="M1116" s="2" t="s">
        <v>93</v>
      </c>
      <c r="N1116" s="2" t="s">
        <v>48</v>
      </c>
      <c r="O1116" s="7" t="s">
        <v>2084</v>
      </c>
      <c r="P1116" s="2" t="s">
        <v>5098</v>
      </c>
      <c r="Q1116" s="2" t="s">
        <v>5099</v>
      </c>
      <c r="R1116" s="2">
        <v>55431</v>
      </c>
      <c r="S1116" s="2">
        <v>44.835746</v>
      </c>
      <c r="T1116" s="2">
        <v>-93.299826999999993</v>
      </c>
      <c r="W1116" s="29"/>
      <c r="AC1116" s="2" t="s">
        <v>51</v>
      </c>
      <c r="AD1116" s="2">
        <f>YEAR(B1116)</f>
        <v>2025</v>
      </c>
    </row>
    <row r="1117" spans="1:31" hidden="1">
      <c r="A1117" s="238" t="s">
        <v>4933</v>
      </c>
      <c r="B1117" s="239">
        <v>45979</v>
      </c>
      <c r="C1117" s="238" t="s">
        <v>5100</v>
      </c>
      <c r="D1117" s="238" t="s">
        <v>40</v>
      </c>
      <c r="E1117" s="238" t="s">
        <v>952</v>
      </c>
      <c r="F1117" s="238" t="s">
        <v>34</v>
      </c>
      <c r="G1117" s="238" t="s">
        <v>5101</v>
      </c>
      <c r="H1117" s="238" t="s">
        <v>5102</v>
      </c>
      <c r="I1117" s="244">
        <v>1875000</v>
      </c>
      <c r="J1117" s="241">
        <v>20</v>
      </c>
      <c r="K1117" s="241"/>
      <c r="L1117" s="241">
        <v>9000</v>
      </c>
      <c r="M1117" s="238" t="s">
        <v>1636</v>
      </c>
      <c r="N1117" s="238" t="s">
        <v>140</v>
      </c>
      <c r="O1117" s="238" t="s">
        <v>3323</v>
      </c>
      <c r="P1117" s="238" t="s">
        <v>4864</v>
      </c>
      <c r="Q1117" s="238" t="s">
        <v>5103</v>
      </c>
      <c r="R1117" s="238">
        <v>56301</v>
      </c>
      <c r="S1117" s="238">
        <v>45.506613000000002</v>
      </c>
      <c r="T1117" s="238">
        <v>-94.157363000000004</v>
      </c>
      <c r="U1117" s="238"/>
      <c r="V1117" s="238"/>
      <c r="W1117" s="238"/>
      <c r="X1117" s="238"/>
      <c r="Y1117" s="230" t="s">
        <v>5100</v>
      </c>
      <c r="Z1117" t="s">
        <v>321</v>
      </c>
      <c r="AA1117" t="s">
        <v>322</v>
      </c>
      <c r="AB1117" s="238"/>
      <c r="AC1117" s="238" t="s">
        <v>41</v>
      </c>
      <c r="AD1117" s="250">
        <v>2025</v>
      </c>
      <c r="AE1117" s="238"/>
    </row>
    <row r="1118" spans="1:31" hidden="1">
      <c r="A1118" s="111" t="s">
        <v>4955</v>
      </c>
      <c r="B1118" s="112">
        <v>45890</v>
      </c>
      <c r="C1118" s="111" t="s">
        <v>5104</v>
      </c>
      <c r="D1118" s="111" t="s">
        <v>528</v>
      </c>
      <c r="E1118" s="111" t="s">
        <v>66</v>
      </c>
      <c r="F1118" s="111" t="s">
        <v>34</v>
      </c>
      <c r="G1118" s="111" t="s">
        <v>5105</v>
      </c>
      <c r="H1118" s="111" t="s">
        <v>4360</v>
      </c>
      <c r="I1118" s="80">
        <v>1760000</v>
      </c>
      <c r="J1118" s="80"/>
      <c r="K1118" s="80"/>
      <c r="L1118" s="80"/>
      <c r="M1118" s="111"/>
      <c r="N1118" s="111" t="s">
        <v>313</v>
      </c>
      <c r="O1118" s="111" t="s">
        <v>3090</v>
      </c>
      <c r="P1118" s="111" t="s">
        <v>5098</v>
      </c>
      <c r="Q1118" s="111" t="s">
        <v>5106</v>
      </c>
      <c r="R1118" s="111">
        <v>55431</v>
      </c>
      <c r="S1118" s="111">
        <v>44.832811</v>
      </c>
      <c r="T1118" s="111">
        <v>-93.307772</v>
      </c>
      <c r="U1118" s="111"/>
      <c r="V1118" s="111"/>
      <c r="W1118" s="80"/>
      <c r="X1118" s="111"/>
      <c r="Y1118" s="111"/>
      <c r="Z1118" s="111"/>
      <c r="AA1118" s="111"/>
      <c r="AB1118" s="111"/>
      <c r="AC1118" s="111" t="s">
        <v>51</v>
      </c>
      <c r="AD1118" s="111">
        <v>2025</v>
      </c>
      <c r="AE1118" s="111"/>
    </row>
    <row r="1119" spans="1:31" hidden="1">
      <c r="A1119" s="238" t="s">
        <v>4933</v>
      </c>
      <c r="B1119" s="239">
        <v>45965</v>
      </c>
      <c r="C1119" s="2" t="s">
        <v>4435</v>
      </c>
      <c r="D1119" s="238" t="s">
        <v>528</v>
      </c>
      <c r="E1119" s="238" t="s">
        <v>66</v>
      </c>
      <c r="F1119" s="238" t="s">
        <v>34</v>
      </c>
      <c r="G1119" s="252" t="s">
        <v>5107</v>
      </c>
      <c r="H1119" s="238" t="s">
        <v>2079</v>
      </c>
      <c r="I1119" s="244">
        <v>1709000</v>
      </c>
      <c r="J1119" s="241"/>
      <c r="K1119" s="241"/>
      <c r="L1119" s="241"/>
      <c r="M1119" s="238" t="s">
        <v>93</v>
      </c>
      <c r="N1119" s="238" t="s">
        <v>48</v>
      </c>
      <c r="O1119" s="242" t="s">
        <v>2084</v>
      </c>
      <c r="P1119" s="238" t="s">
        <v>5098</v>
      </c>
      <c r="Q1119" s="238" t="s">
        <v>3091</v>
      </c>
      <c r="R1119" s="238">
        <v>55431</v>
      </c>
      <c r="S1119" s="238">
        <v>44.833530000000003</v>
      </c>
      <c r="T1119" s="238">
        <v>-93.297188000000006</v>
      </c>
      <c r="U1119" s="238"/>
      <c r="V1119" s="238"/>
      <c r="W1119" s="238"/>
      <c r="X1119" s="238"/>
      <c r="Y1119" s="238"/>
      <c r="Z1119" s="238"/>
      <c r="AA1119" s="238"/>
      <c r="AB1119" s="238"/>
      <c r="AC1119" s="238" t="s">
        <v>51</v>
      </c>
      <c r="AD1119" s="250">
        <v>2025</v>
      </c>
      <c r="AE1119" s="238"/>
    </row>
    <row r="1120" spans="1:31" hidden="1">
      <c r="A1120" s="2" t="s">
        <v>4928</v>
      </c>
      <c r="B1120" s="42">
        <v>45747</v>
      </c>
      <c r="C1120" s="2" t="s">
        <v>5108</v>
      </c>
      <c r="D1120" s="2" t="s">
        <v>688</v>
      </c>
      <c r="E1120" s="2" t="s">
        <v>66</v>
      </c>
      <c r="F1120" s="66" t="s">
        <v>34</v>
      </c>
      <c r="G1120" s="2" t="s">
        <v>5109</v>
      </c>
      <c r="I1120" s="5">
        <v>1694400</v>
      </c>
      <c r="J1120" s="5">
        <v>60</v>
      </c>
      <c r="K1120" s="5"/>
      <c r="N1120" s="2" t="s">
        <v>384</v>
      </c>
      <c r="O1120" s="2" t="s">
        <v>114</v>
      </c>
      <c r="P1120" s="2" t="s">
        <v>658</v>
      </c>
      <c r="Q1120" s="171" t="s">
        <v>5110</v>
      </c>
      <c r="R1120" s="2">
        <v>55374</v>
      </c>
      <c r="S1120" s="2">
        <v>45.204873999999997</v>
      </c>
      <c r="T1120" s="2">
        <v>-93.576346000000001</v>
      </c>
      <c r="U1120" s="2" t="s">
        <v>378</v>
      </c>
      <c r="V1120" s="2" t="s">
        <v>1793</v>
      </c>
      <c r="W1120" s="5">
        <v>326630</v>
      </c>
      <c r="AC1120" s="2" t="s">
        <v>51</v>
      </c>
      <c r="AD1120" s="2">
        <f>YEAR(B1120)</f>
        <v>2025</v>
      </c>
    </row>
    <row r="1121" spans="1:31" hidden="1">
      <c r="A1121" s="2" t="s">
        <v>4916</v>
      </c>
      <c r="B1121" s="42">
        <v>45783</v>
      </c>
      <c r="C1121" s="2" t="s">
        <v>5111</v>
      </c>
      <c r="D1121" s="2" t="s">
        <v>65</v>
      </c>
      <c r="E1121" s="2" t="s">
        <v>66</v>
      </c>
      <c r="F1121" s="66" t="s">
        <v>34</v>
      </c>
      <c r="G1121" s="2" t="s">
        <v>5112</v>
      </c>
      <c r="H1121" s="2" t="s">
        <v>188</v>
      </c>
      <c r="I1121" s="5">
        <v>1500000</v>
      </c>
      <c r="L1121" s="5">
        <v>38690</v>
      </c>
      <c r="M1121" s="2" t="s">
        <v>5113</v>
      </c>
      <c r="N1121" s="280" t="s">
        <v>103</v>
      </c>
      <c r="O1121" s="2" t="s">
        <v>5114</v>
      </c>
      <c r="P1121" s="2" t="s">
        <v>4705</v>
      </c>
      <c r="Q1121" s="2" t="s">
        <v>5115</v>
      </c>
      <c r="R1121" s="2">
        <v>55405</v>
      </c>
      <c r="S1121" s="2">
        <v>44.981741999999997</v>
      </c>
      <c r="T1121" s="2">
        <v>-93.284255000000002</v>
      </c>
      <c r="W1121" s="5"/>
      <c r="Y1121" s="272" t="s">
        <v>5111</v>
      </c>
      <c r="Z1121" s="272" t="s">
        <v>5116</v>
      </c>
      <c r="AA1121" s="272" t="s">
        <v>1491</v>
      </c>
      <c r="AC1121" s="2" t="s">
        <v>51</v>
      </c>
      <c r="AD1121" s="2">
        <f>YEAR(B1121)</f>
        <v>2025</v>
      </c>
      <c r="AE1121" s="2" t="s">
        <v>2319</v>
      </c>
    </row>
    <row r="1122" spans="1:31" hidden="1">
      <c r="A1122" s="111" t="s">
        <v>4955</v>
      </c>
      <c r="B1122" s="112">
        <v>45848</v>
      </c>
      <c r="C1122" s="2" t="s">
        <v>4435</v>
      </c>
      <c r="D1122" s="111" t="s">
        <v>528</v>
      </c>
      <c r="E1122" s="111" t="s">
        <v>66</v>
      </c>
      <c r="F1122" s="111" t="s">
        <v>34</v>
      </c>
      <c r="G1122" s="111" t="s">
        <v>5117</v>
      </c>
      <c r="H1122" s="111" t="s">
        <v>2079</v>
      </c>
      <c r="I1122" s="80">
        <v>1500000</v>
      </c>
      <c r="J1122" s="80"/>
      <c r="K1122" s="80"/>
      <c r="L1122" s="80"/>
      <c r="M1122" s="111" t="s">
        <v>93</v>
      </c>
      <c r="N1122" s="111" t="s">
        <v>48</v>
      </c>
      <c r="O1122" s="111" t="s">
        <v>3090</v>
      </c>
      <c r="P1122" s="111" t="s">
        <v>5098</v>
      </c>
      <c r="Q1122" s="111" t="s">
        <v>3091</v>
      </c>
      <c r="R1122" s="111">
        <v>55431</v>
      </c>
      <c r="S1122" s="111">
        <v>44.835098000000002</v>
      </c>
      <c r="T1122" s="111">
        <v>-93.298868999999996</v>
      </c>
      <c r="U1122" s="111"/>
      <c r="V1122" s="111"/>
      <c r="W1122" s="80"/>
      <c r="X1122" s="111"/>
      <c r="Y1122" s="111"/>
      <c r="Z1122" s="111"/>
      <c r="AA1122" s="111"/>
      <c r="AB1122" s="111"/>
      <c r="AC1122" s="111" t="s">
        <v>51</v>
      </c>
      <c r="AD1122" s="111">
        <v>2025</v>
      </c>
      <c r="AE1122" s="111"/>
    </row>
    <row r="1123" spans="1:31" hidden="1">
      <c r="A1123" s="238" t="s">
        <v>4933</v>
      </c>
      <c r="B1123" s="239">
        <v>45931</v>
      </c>
      <c r="C1123" s="238" t="s">
        <v>5118</v>
      </c>
      <c r="D1123" s="238" t="s">
        <v>3839</v>
      </c>
      <c r="E1123" s="238" t="s">
        <v>238</v>
      </c>
      <c r="F1123" s="238" t="s">
        <v>34</v>
      </c>
      <c r="G1123" s="238" t="s">
        <v>5119</v>
      </c>
      <c r="H1123" s="238"/>
      <c r="I1123" s="262">
        <v>1448968</v>
      </c>
      <c r="J1123" s="241">
        <v>50</v>
      </c>
      <c r="K1123" s="241"/>
      <c r="L1123" s="241"/>
      <c r="M1123" s="238" t="s">
        <v>93</v>
      </c>
      <c r="N1123" s="238" t="s">
        <v>48</v>
      </c>
      <c r="O1123" s="238" t="s">
        <v>114</v>
      </c>
      <c r="P1123" s="238" t="s">
        <v>658</v>
      </c>
      <c r="Q1123" s="243" t="s">
        <v>3842</v>
      </c>
      <c r="R1123" s="238">
        <v>56464</v>
      </c>
      <c r="S1123" s="238">
        <v>46.486713999999999</v>
      </c>
      <c r="T1123" s="238">
        <v>-94.158045999999999</v>
      </c>
      <c r="U1123" s="238" t="s">
        <v>378</v>
      </c>
      <c r="V1123" s="238" t="s">
        <v>1793</v>
      </c>
      <c r="W1123" s="244">
        <v>398595</v>
      </c>
      <c r="X1123" s="238"/>
      <c r="Y1123" s="241"/>
      <c r="Z1123" s="241"/>
      <c r="AA1123" s="238"/>
      <c r="AB1123" s="241"/>
      <c r="AC1123" s="238" t="s">
        <v>41</v>
      </c>
      <c r="AD1123" s="250">
        <v>2025</v>
      </c>
      <c r="AE1123" s="238"/>
    </row>
    <row r="1124" spans="1:31" hidden="1">
      <c r="A1124" s="2" t="s">
        <v>4928</v>
      </c>
      <c r="B1124" s="42">
        <v>45747</v>
      </c>
      <c r="C1124" s="2" t="s">
        <v>5120</v>
      </c>
      <c r="D1124" s="2" t="s">
        <v>1741</v>
      </c>
      <c r="E1124" s="2" t="s">
        <v>1253</v>
      </c>
      <c r="F1124" s="2" t="s">
        <v>34</v>
      </c>
      <c r="G1124" s="2" t="s">
        <v>5121</v>
      </c>
      <c r="I1124" s="5">
        <v>1072740</v>
      </c>
      <c r="J1124" s="5">
        <v>40</v>
      </c>
      <c r="K1124" s="5"/>
      <c r="N1124" s="2" t="s">
        <v>384</v>
      </c>
      <c r="O1124" s="2" t="s">
        <v>114</v>
      </c>
      <c r="P1124" s="2" t="s">
        <v>658</v>
      </c>
      <c r="Q1124" s="2" t="s">
        <v>5122</v>
      </c>
      <c r="R1124" s="2">
        <v>55901</v>
      </c>
      <c r="S1124" s="2">
        <v>44.037565000000001</v>
      </c>
      <c r="T1124" s="2">
        <v>-92.499775</v>
      </c>
      <c r="U1124" s="2" t="s">
        <v>378</v>
      </c>
      <c r="V1124" s="2" t="s">
        <v>1793</v>
      </c>
      <c r="W1124" s="5"/>
      <c r="AC1124" s="2" t="s">
        <v>120</v>
      </c>
      <c r="AD1124" s="2">
        <f>YEAR(B1124)</f>
        <v>2025</v>
      </c>
    </row>
    <row r="1125" spans="1:31" hidden="1">
      <c r="A1125" s="238" t="s">
        <v>4933</v>
      </c>
      <c r="B1125" s="239">
        <v>45936</v>
      </c>
      <c r="C1125" s="238" t="s">
        <v>5123</v>
      </c>
      <c r="D1125" s="238" t="s">
        <v>276</v>
      </c>
      <c r="E1125" s="238" t="s">
        <v>277</v>
      </c>
      <c r="F1125" s="238" t="s">
        <v>34</v>
      </c>
      <c r="G1125" s="238" t="s">
        <v>5124</v>
      </c>
      <c r="H1125" s="238"/>
      <c r="I1125" s="244">
        <v>986000</v>
      </c>
      <c r="J1125" s="241">
        <v>14</v>
      </c>
      <c r="K1125" s="241">
        <v>68</v>
      </c>
      <c r="L1125" s="241"/>
      <c r="M1125" s="238" t="s">
        <v>102</v>
      </c>
      <c r="N1125" s="238" t="s">
        <v>103</v>
      </c>
      <c r="O1125" s="238" t="s">
        <v>5125</v>
      </c>
      <c r="P1125" s="238" t="s">
        <v>5126</v>
      </c>
      <c r="Q1125" s="238" t="s">
        <v>5127</v>
      </c>
      <c r="R1125" s="238">
        <v>56601</v>
      </c>
      <c r="S1125" s="238">
        <v>47.479869999999998</v>
      </c>
      <c r="T1125" s="238">
        <v>-94.926568000000003</v>
      </c>
      <c r="U1125" s="238" t="s">
        <v>378</v>
      </c>
      <c r="V1125" s="238" t="s">
        <v>5128</v>
      </c>
      <c r="W1125" s="244">
        <v>175000</v>
      </c>
      <c r="X1125" s="238"/>
      <c r="Y1125" s="238"/>
      <c r="Z1125" s="238"/>
      <c r="AA1125" s="238"/>
      <c r="AB1125" s="238"/>
      <c r="AC1125" s="238" t="s">
        <v>97</v>
      </c>
      <c r="AD1125" s="250">
        <v>2025</v>
      </c>
      <c r="AE1125" s="238"/>
    </row>
    <row r="1126" spans="1:31" hidden="1">
      <c r="A1126" s="111" t="s">
        <v>4955</v>
      </c>
      <c r="B1126" s="112">
        <v>45895</v>
      </c>
      <c r="C1126" s="111" t="s">
        <v>5129</v>
      </c>
      <c r="D1126" s="111" t="s">
        <v>676</v>
      </c>
      <c r="E1126" s="111" t="s">
        <v>66</v>
      </c>
      <c r="F1126" s="111" t="s">
        <v>34</v>
      </c>
      <c r="G1126" s="111" t="s">
        <v>5130</v>
      </c>
      <c r="H1126" s="111" t="s">
        <v>2159</v>
      </c>
      <c r="I1126" s="80">
        <v>700000</v>
      </c>
      <c r="J1126" s="80"/>
      <c r="K1126" s="80"/>
      <c r="L1126" s="80">
        <v>40000</v>
      </c>
      <c r="M1126" s="111"/>
      <c r="N1126" s="111" t="s">
        <v>384</v>
      </c>
      <c r="O1126" s="111" t="s">
        <v>5131</v>
      </c>
      <c r="P1126" s="111" t="s">
        <v>647</v>
      </c>
      <c r="Q1126" s="81" t="s">
        <v>5132</v>
      </c>
      <c r="R1126" s="111">
        <v>55421</v>
      </c>
      <c r="S1126" s="111">
        <v>45.061709999999998</v>
      </c>
      <c r="T1126" s="111">
        <v>-93.274825000000007</v>
      </c>
      <c r="U1126" s="111"/>
      <c r="V1126" s="111"/>
      <c r="W1126" s="80"/>
      <c r="X1126" s="111"/>
      <c r="Y1126" s="111"/>
      <c r="Z1126" s="111"/>
      <c r="AA1126" s="111"/>
      <c r="AB1126" s="111"/>
      <c r="AC1126" s="111" t="s">
        <v>51</v>
      </c>
      <c r="AD1126" s="111">
        <v>2025</v>
      </c>
      <c r="AE1126" s="111"/>
    </row>
    <row r="1127" spans="1:31" hidden="1">
      <c r="A1127" s="111" t="s">
        <v>4955</v>
      </c>
      <c r="B1127" s="112">
        <v>45894</v>
      </c>
      <c r="C1127" s="2" t="s">
        <v>4435</v>
      </c>
      <c r="D1127" s="111" t="s">
        <v>528</v>
      </c>
      <c r="E1127" s="111" t="s">
        <v>66</v>
      </c>
      <c r="F1127" s="111" t="s">
        <v>34</v>
      </c>
      <c r="G1127" s="111" t="s">
        <v>5133</v>
      </c>
      <c r="H1127" s="111" t="s">
        <v>2079</v>
      </c>
      <c r="I1127" s="80">
        <v>550000</v>
      </c>
      <c r="J1127" s="80"/>
      <c r="K1127" s="80"/>
      <c r="L1127" s="80"/>
      <c r="M1127" s="111" t="s">
        <v>93</v>
      </c>
      <c r="N1127" s="111" t="s">
        <v>48</v>
      </c>
      <c r="O1127" s="111" t="s">
        <v>3090</v>
      </c>
      <c r="P1127" s="111" t="s">
        <v>5098</v>
      </c>
      <c r="Q1127" s="111" t="s">
        <v>4019</v>
      </c>
      <c r="R1127" s="111">
        <v>55431</v>
      </c>
      <c r="S1127" s="111">
        <v>44.835754000000001</v>
      </c>
      <c r="T1127" s="111">
        <v>-93.299835000000002</v>
      </c>
      <c r="U1127" s="111"/>
      <c r="V1127" s="111"/>
      <c r="W1127" s="80"/>
      <c r="X1127" s="111"/>
      <c r="Y1127" s="111"/>
      <c r="Z1127" s="111"/>
      <c r="AA1127" s="111"/>
      <c r="AB1127" s="111"/>
      <c r="AC1127" s="111" t="s">
        <v>51</v>
      </c>
      <c r="AD1127" s="111">
        <v>2025</v>
      </c>
      <c r="AE1127" s="111"/>
    </row>
    <row r="1128" spans="1:31" hidden="1">
      <c r="A1128" s="238" t="s">
        <v>4933</v>
      </c>
      <c r="B1128" s="239">
        <v>45931</v>
      </c>
      <c r="C1128" s="238" t="s">
        <v>5134</v>
      </c>
      <c r="D1128" s="238" t="s">
        <v>528</v>
      </c>
      <c r="E1128" s="238" t="s">
        <v>66</v>
      </c>
      <c r="F1128" s="238" t="s">
        <v>34</v>
      </c>
      <c r="G1128" s="238" t="s">
        <v>5135</v>
      </c>
      <c r="H1128" s="238" t="s">
        <v>2079</v>
      </c>
      <c r="I1128" s="244">
        <v>385000</v>
      </c>
      <c r="J1128" s="241"/>
      <c r="K1128" s="241"/>
      <c r="L1128" s="241"/>
      <c r="M1128" s="238" t="s">
        <v>132</v>
      </c>
      <c r="N1128" s="238" t="s">
        <v>48</v>
      </c>
      <c r="O1128" s="242" t="s">
        <v>2084</v>
      </c>
      <c r="P1128" s="238" t="s">
        <v>5098</v>
      </c>
      <c r="Q1128" s="238" t="s">
        <v>3664</v>
      </c>
      <c r="R1128" s="238">
        <v>55431</v>
      </c>
      <c r="S1128" s="238">
        <v>44.832588999999999</v>
      </c>
      <c r="T1128" s="238">
        <v>-93.299898999999996</v>
      </c>
      <c r="U1128" s="238"/>
      <c r="V1128" s="238"/>
      <c r="W1128" s="238"/>
      <c r="X1128" s="238"/>
      <c r="Y1128" s="238"/>
      <c r="Z1128" s="238"/>
      <c r="AA1128" s="238"/>
      <c r="AB1128" s="238"/>
      <c r="AC1128" s="238" t="s">
        <v>51</v>
      </c>
      <c r="AD1128" s="250">
        <v>2025</v>
      </c>
      <c r="AE1128" s="238"/>
    </row>
    <row r="1129" spans="1:31" hidden="1">
      <c r="A1129" s="111" t="s">
        <v>4955</v>
      </c>
      <c r="B1129" s="112">
        <v>45895</v>
      </c>
      <c r="C1129" s="111" t="s">
        <v>5136</v>
      </c>
      <c r="D1129" s="111" t="s">
        <v>415</v>
      </c>
      <c r="E1129" s="111" t="s">
        <v>952</v>
      </c>
      <c r="F1129" s="111" t="s">
        <v>34</v>
      </c>
      <c r="G1129" s="111" t="s">
        <v>5137</v>
      </c>
      <c r="H1129" s="111" t="s">
        <v>3231</v>
      </c>
      <c r="I1129" s="80">
        <v>297000</v>
      </c>
      <c r="J1129" s="80"/>
      <c r="K1129" s="80"/>
      <c r="L1129" s="80">
        <v>4800</v>
      </c>
      <c r="M1129" s="111" t="s">
        <v>2147</v>
      </c>
      <c r="N1129" s="111" t="s">
        <v>48</v>
      </c>
      <c r="O1129" s="111" t="s">
        <v>5138</v>
      </c>
      <c r="P1129" s="111"/>
      <c r="Q1129" s="111" t="s">
        <v>5139</v>
      </c>
      <c r="R1129" s="111">
        <v>56303</v>
      </c>
      <c r="S1129" s="111">
        <v>45.564377</v>
      </c>
      <c r="T1129" s="111">
        <v>-94.180659000000006</v>
      </c>
      <c r="U1129" s="111"/>
      <c r="V1129" s="111"/>
      <c r="W1129" s="80"/>
      <c r="X1129" s="111"/>
      <c r="Y1129" s="111"/>
      <c r="Z1129" s="111"/>
      <c r="AA1129" s="111"/>
      <c r="AB1129" s="111"/>
      <c r="AC1129" s="111" t="s">
        <v>41</v>
      </c>
      <c r="AD1129" s="111">
        <v>2025</v>
      </c>
      <c r="AE1129" s="111"/>
    </row>
    <row r="1130" spans="1:31" hidden="1">
      <c r="A1130" s="111" t="s">
        <v>4955</v>
      </c>
      <c r="B1130" s="112">
        <v>45904</v>
      </c>
      <c r="C1130" s="111" t="s">
        <v>5140</v>
      </c>
      <c r="D1130" s="111" t="s">
        <v>1007</v>
      </c>
      <c r="E1130" s="111" t="s">
        <v>677</v>
      </c>
      <c r="F1130" s="111" t="s">
        <v>34</v>
      </c>
      <c r="G1130" s="111" t="s">
        <v>5141</v>
      </c>
      <c r="H1130" s="111" t="s">
        <v>131</v>
      </c>
      <c r="I1130" s="295"/>
      <c r="J1130" s="111">
        <v>175</v>
      </c>
      <c r="K1130" s="111"/>
      <c r="L1130" s="111">
        <v>117000</v>
      </c>
      <c r="M1130" s="111" t="s">
        <v>132</v>
      </c>
      <c r="N1130" s="111" t="s">
        <v>48</v>
      </c>
      <c r="O1130" s="111" t="s">
        <v>5142</v>
      </c>
      <c r="P1130" s="111" t="s">
        <v>4705</v>
      </c>
      <c r="Q1130" s="111"/>
      <c r="R1130" s="111">
        <v>55449</v>
      </c>
      <c r="S1130" s="111">
        <v>45.166673000000003</v>
      </c>
      <c r="T1130" s="111">
        <v>-93.210860999999994</v>
      </c>
      <c r="U1130" s="111"/>
      <c r="V1130" s="111"/>
      <c r="W1130" s="265"/>
      <c r="X1130" s="111"/>
      <c r="Y1130" s="111"/>
      <c r="Z1130" s="111"/>
      <c r="AA1130" s="111"/>
      <c r="AB1130" s="111"/>
      <c r="AC1130" s="111" t="s">
        <v>51</v>
      </c>
      <c r="AD1130" s="111">
        <v>2025</v>
      </c>
      <c r="AE1130" s="111"/>
    </row>
    <row r="1131" spans="1:31" hidden="1">
      <c r="A1131" s="238" t="s">
        <v>4933</v>
      </c>
      <c r="B1131" s="239">
        <v>45993</v>
      </c>
      <c r="C1131" s="238" t="s">
        <v>5143</v>
      </c>
      <c r="D1131" s="238" t="s">
        <v>505</v>
      </c>
      <c r="E1131" s="238" t="s">
        <v>335</v>
      </c>
      <c r="F1131" s="238" t="s">
        <v>34</v>
      </c>
      <c r="G1131" s="238" t="s">
        <v>5144</v>
      </c>
      <c r="H1131" s="238" t="s">
        <v>131</v>
      </c>
      <c r="I1131" s="244"/>
      <c r="J1131" s="241">
        <v>100</v>
      </c>
      <c r="K1131" s="241"/>
      <c r="L1131" s="241"/>
      <c r="M1131" s="238" t="s">
        <v>167</v>
      </c>
      <c r="N1131" s="238" t="s">
        <v>48</v>
      </c>
      <c r="O1131" s="238" t="s">
        <v>5145</v>
      </c>
      <c r="P1131" s="238" t="s">
        <v>4705</v>
      </c>
      <c r="Q1131" s="247" t="s">
        <v>4794</v>
      </c>
      <c r="R1131" s="238">
        <v>55379</v>
      </c>
      <c r="S1131" s="238">
        <v>44.781855999999998</v>
      </c>
      <c r="T1131" s="238">
        <v>-93.456603999999999</v>
      </c>
      <c r="U1131" s="238"/>
      <c r="V1131" s="238"/>
      <c r="W1131" s="244"/>
      <c r="X1131" s="238" t="s">
        <v>2319</v>
      </c>
      <c r="Y1131" s="241" t="s">
        <v>5146</v>
      </c>
      <c r="Z1131" s="241" t="s">
        <v>5147</v>
      </c>
      <c r="AA1131" s="238"/>
      <c r="AB1131" s="241" t="s">
        <v>1098</v>
      </c>
      <c r="AC1131" s="238" t="s">
        <v>51</v>
      </c>
      <c r="AD1131" s="250">
        <v>2025</v>
      </c>
      <c r="AE1131" s="238"/>
    </row>
    <row r="1132" spans="1:31" hidden="1">
      <c r="A1132" s="238" t="s">
        <v>4933</v>
      </c>
      <c r="B1132" s="239">
        <v>45938</v>
      </c>
      <c r="C1132" s="238" t="s">
        <v>5148</v>
      </c>
      <c r="D1132" s="238" t="s">
        <v>776</v>
      </c>
      <c r="E1132" s="238" t="s">
        <v>66</v>
      </c>
      <c r="F1132" s="238" t="s">
        <v>34</v>
      </c>
      <c r="G1132" s="238" t="s">
        <v>5149</v>
      </c>
      <c r="H1132" s="238" t="s">
        <v>2422</v>
      </c>
      <c r="I1132" s="244"/>
      <c r="J1132" s="241">
        <v>90</v>
      </c>
      <c r="K1132" s="241"/>
      <c r="L1132" s="241">
        <v>20000</v>
      </c>
      <c r="M1132" s="238"/>
      <c r="N1132" s="238" t="s">
        <v>253</v>
      </c>
      <c r="O1132" s="238" t="s">
        <v>5150</v>
      </c>
      <c r="P1132" s="238" t="s">
        <v>4705</v>
      </c>
      <c r="Q1132" s="238" t="s">
        <v>5151</v>
      </c>
      <c r="R1132" s="238">
        <v>55435</v>
      </c>
      <c r="S1132" s="238">
        <v>44.88015</v>
      </c>
      <c r="T1132" s="238">
        <v>-93.330647999999997</v>
      </c>
      <c r="U1132" s="238"/>
      <c r="V1132" s="238"/>
      <c r="W1132" s="244"/>
      <c r="X1132" s="238"/>
      <c r="Y1132" s="238"/>
      <c r="Z1132" s="238"/>
      <c r="AA1132" s="238"/>
      <c r="AB1132" s="238"/>
      <c r="AC1132" s="238" t="s">
        <v>51</v>
      </c>
      <c r="AD1132" s="250">
        <v>2025</v>
      </c>
      <c r="AE1132" s="238"/>
    </row>
    <row r="1133" spans="1:31" hidden="1">
      <c r="A1133" s="2" t="s">
        <v>4916</v>
      </c>
      <c r="B1133" s="42">
        <v>45769</v>
      </c>
      <c r="C1133" s="2" t="s">
        <v>442</v>
      </c>
      <c r="D1133" s="2" t="s">
        <v>372</v>
      </c>
      <c r="E1133" s="2" t="s">
        <v>182</v>
      </c>
      <c r="F1133" s="2" t="s">
        <v>34</v>
      </c>
      <c r="G1133" s="2" t="s">
        <v>5152</v>
      </c>
      <c r="H1133" s="2" t="s">
        <v>3231</v>
      </c>
      <c r="J1133" s="5">
        <v>75</v>
      </c>
      <c r="K1133" s="5"/>
      <c r="L1133" s="277">
        <v>60000</v>
      </c>
      <c r="N1133" s="2" t="s">
        <v>253</v>
      </c>
      <c r="O1133" s="2" t="s">
        <v>5153</v>
      </c>
      <c r="P1133" s="2" t="s">
        <v>5154</v>
      </c>
      <c r="R1133" s="2">
        <v>56073</v>
      </c>
      <c r="S1133" s="2">
        <v>44.173405000000002</v>
      </c>
      <c r="T1133" s="2">
        <v>-94.033640000000005</v>
      </c>
      <c r="W1133" s="5"/>
      <c r="Y1133" s="2" t="s">
        <v>442</v>
      </c>
      <c r="Z1133" s="2" t="s">
        <v>875</v>
      </c>
      <c r="AA1133" s="2" t="s">
        <v>44</v>
      </c>
      <c r="AC1133" s="2" t="s">
        <v>120</v>
      </c>
      <c r="AD1133" s="2">
        <f>YEAR(B1133)</f>
        <v>2025</v>
      </c>
      <c r="AE1133" s="2" t="s">
        <v>2319</v>
      </c>
    </row>
    <row r="1134" spans="1:31" hidden="1">
      <c r="A1134" s="238" t="s">
        <v>4933</v>
      </c>
      <c r="B1134" s="239">
        <v>45932</v>
      </c>
      <c r="C1134" s="238" t="s">
        <v>613</v>
      </c>
      <c r="D1134" s="238" t="s">
        <v>5155</v>
      </c>
      <c r="E1134" s="238" t="s">
        <v>2321</v>
      </c>
      <c r="F1134" s="238" t="s">
        <v>34</v>
      </c>
      <c r="G1134" s="238" t="s">
        <v>5156</v>
      </c>
      <c r="H1134" s="238" t="s">
        <v>131</v>
      </c>
      <c r="I1134" s="244"/>
      <c r="J1134" s="241">
        <v>70</v>
      </c>
      <c r="K1134" s="241"/>
      <c r="L1134" s="241">
        <v>227000</v>
      </c>
      <c r="M1134" s="238" t="s">
        <v>2754</v>
      </c>
      <c r="N1134" s="238" t="s">
        <v>48</v>
      </c>
      <c r="O1134" s="238" t="s">
        <v>5157</v>
      </c>
      <c r="P1134" s="238" t="s">
        <v>5158</v>
      </c>
      <c r="Q1134" s="246" t="s">
        <v>5159</v>
      </c>
      <c r="R1134" s="238">
        <v>56101</v>
      </c>
      <c r="S1134" s="238">
        <v>43.885317000000001</v>
      </c>
      <c r="T1134" s="238">
        <v>-95.100649000000004</v>
      </c>
      <c r="U1134" s="238" t="s">
        <v>378</v>
      </c>
      <c r="V1134" s="238" t="s">
        <v>5160</v>
      </c>
      <c r="W1134" s="244">
        <v>1000000</v>
      </c>
      <c r="X1134" s="238"/>
      <c r="Y1134" s="230" t="s">
        <v>613</v>
      </c>
      <c r="Z1134" s="230" t="s">
        <v>617</v>
      </c>
      <c r="AA1134" s="230" t="s">
        <v>618</v>
      </c>
      <c r="AB1134" s="238"/>
      <c r="AC1134" s="238" t="s">
        <v>120</v>
      </c>
      <c r="AD1134" s="250">
        <v>2025</v>
      </c>
      <c r="AE1134" s="238"/>
    </row>
    <row r="1135" spans="1:31" hidden="1">
      <c r="A1135" s="2" t="s">
        <v>4916</v>
      </c>
      <c r="B1135" s="42">
        <v>45800</v>
      </c>
      <c r="C1135" s="273" t="s">
        <v>4934</v>
      </c>
      <c r="D1135" s="2" t="s">
        <v>1741</v>
      </c>
      <c r="E1135" s="2" t="s">
        <v>1253</v>
      </c>
      <c r="F1135" s="66" t="s">
        <v>34</v>
      </c>
      <c r="G1135" s="2" t="s">
        <v>5161</v>
      </c>
      <c r="J1135" s="5">
        <v>50</v>
      </c>
      <c r="K1135" s="5"/>
      <c r="M1135" s="2" t="s">
        <v>93</v>
      </c>
      <c r="N1135" s="2" t="s">
        <v>48</v>
      </c>
      <c r="O1135" s="2" t="s">
        <v>5162</v>
      </c>
      <c r="P1135" s="2" t="s">
        <v>5163</v>
      </c>
      <c r="R1135" s="2">
        <v>55060</v>
      </c>
      <c r="S1135" s="2">
        <v>44.047612999999998</v>
      </c>
      <c r="T1135" s="2">
        <v>-93.223724000000004</v>
      </c>
      <c r="W1135" s="5"/>
      <c r="X1135" s="2" t="s">
        <v>4938</v>
      </c>
      <c r="Y1135" s="272" t="s">
        <v>1453</v>
      </c>
      <c r="Z1135" s="272" t="s">
        <v>756</v>
      </c>
      <c r="AA1135" s="273"/>
      <c r="AB1135" s="279" t="s">
        <v>757</v>
      </c>
      <c r="AC1135" s="2" t="s">
        <v>120</v>
      </c>
      <c r="AD1135" s="2">
        <f>YEAR(B1135)</f>
        <v>2025</v>
      </c>
      <c r="AE1135" s="2" t="s">
        <v>2319</v>
      </c>
    </row>
    <row r="1136" spans="1:31" hidden="1">
      <c r="A1136" s="2" t="s">
        <v>4916</v>
      </c>
      <c r="B1136" s="42">
        <v>45797</v>
      </c>
      <c r="C1136" s="2" t="s">
        <v>442</v>
      </c>
      <c r="D1136" s="2" t="s">
        <v>90</v>
      </c>
      <c r="E1136" s="2" t="s">
        <v>4447</v>
      </c>
      <c r="F1136" s="66" t="s">
        <v>34</v>
      </c>
      <c r="G1136" s="2" t="s">
        <v>5164</v>
      </c>
      <c r="J1136" s="5">
        <v>40</v>
      </c>
      <c r="K1136" s="5"/>
      <c r="N1136" s="2" t="s">
        <v>253</v>
      </c>
      <c r="O1136" s="2" t="s">
        <v>5165</v>
      </c>
      <c r="P1136" s="2" t="s">
        <v>1593</v>
      </c>
      <c r="R1136" s="2">
        <v>55801</v>
      </c>
      <c r="S1136" s="2">
        <v>47.005566000000002</v>
      </c>
      <c r="T1136" s="2">
        <v>-92.001934000000006</v>
      </c>
      <c r="W1136" s="5"/>
      <c r="Y1136" s="2" t="s">
        <v>442</v>
      </c>
      <c r="Z1136" s="2" t="s">
        <v>875</v>
      </c>
      <c r="AA1136" s="2" t="s">
        <v>44</v>
      </c>
      <c r="AC1136" s="2" t="s">
        <v>51</v>
      </c>
      <c r="AD1136" s="2">
        <f>YEAR(B1136)</f>
        <v>2025</v>
      </c>
      <c r="AE1136" s="2" t="s">
        <v>2319</v>
      </c>
    </row>
    <row r="1137" spans="1:31" hidden="1">
      <c r="A1137" s="2" t="s">
        <v>4928</v>
      </c>
      <c r="B1137" s="42">
        <v>45667</v>
      </c>
      <c r="C1137" s="2" t="s">
        <v>1216</v>
      </c>
      <c r="D1137" s="2" t="s">
        <v>165</v>
      </c>
      <c r="E1137" s="2" t="s">
        <v>66</v>
      </c>
      <c r="F1137" s="66" t="s">
        <v>34</v>
      </c>
      <c r="G1137" s="2" t="s">
        <v>5166</v>
      </c>
      <c r="H1137" s="2" t="s">
        <v>131</v>
      </c>
      <c r="I1137" s="29"/>
      <c r="J1137" s="5">
        <v>31</v>
      </c>
      <c r="K1137" s="5"/>
      <c r="M1137" s="2" t="s">
        <v>167</v>
      </c>
      <c r="N1137" s="2" t="s">
        <v>48</v>
      </c>
      <c r="O1137" s="2" t="s">
        <v>5167</v>
      </c>
      <c r="P1137" s="2" t="s">
        <v>1327</v>
      </c>
      <c r="Q1137" s="157" t="s">
        <v>5168</v>
      </c>
      <c r="R1137" s="2">
        <v>55369</v>
      </c>
      <c r="S1137" s="2">
        <v>45.088495000000002</v>
      </c>
      <c r="T1137" s="2">
        <v>-93.435485</v>
      </c>
      <c r="W1137" s="29"/>
      <c r="AC1137" s="2" t="s">
        <v>51</v>
      </c>
      <c r="AD1137" s="2">
        <f>YEAR(B1137)</f>
        <v>2025</v>
      </c>
    </row>
    <row r="1138" spans="1:31" hidden="1">
      <c r="A1138" s="111" t="s">
        <v>4955</v>
      </c>
      <c r="B1138" s="112">
        <v>45909</v>
      </c>
      <c r="C1138" s="111" t="s">
        <v>5073</v>
      </c>
      <c r="D1138" s="111" t="s">
        <v>4833</v>
      </c>
      <c r="E1138" s="111" t="s">
        <v>282</v>
      </c>
      <c r="F1138" s="111" t="s">
        <v>34</v>
      </c>
      <c r="G1138" s="111" t="s">
        <v>5169</v>
      </c>
      <c r="H1138" s="111"/>
      <c r="I1138" s="80"/>
      <c r="J1138" s="80">
        <v>30</v>
      </c>
      <c r="K1138" s="80"/>
      <c r="L1138" s="80"/>
      <c r="M1138" s="111" t="s">
        <v>3698</v>
      </c>
      <c r="N1138" s="111" t="s">
        <v>48</v>
      </c>
      <c r="O1138" s="111" t="s">
        <v>5170</v>
      </c>
      <c r="P1138" s="111" t="s">
        <v>4705</v>
      </c>
      <c r="Q1138" s="111" t="s">
        <v>5171</v>
      </c>
      <c r="R1138" s="111">
        <v>55336</v>
      </c>
      <c r="S1138" s="111">
        <v>44.77514</v>
      </c>
      <c r="T1138" s="111">
        <v>-94.180915999999996</v>
      </c>
      <c r="U1138" s="111"/>
      <c r="V1138" s="111"/>
      <c r="W1138" s="80"/>
      <c r="X1138" s="111"/>
      <c r="Y1138" s="111"/>
      <c r="Z1138" s="111"/>
      <c r="AA1138" s="111"/>
      <c r="AB1138" s="111"/>
      <c r="AC1138" s="111" t="s">
        <v>41</v>
      </c>
      <c r="AD1138" s="111">
        <v>2025</v>
      </c>
      <c r="AE1138" s="111"/>
    </row>
    <row r="1139" spans="1:31" hidden="1">
      <c r="A1139" s="238" t="s">
        <v>4933</v>
      </c>
      <c r="B1139" s="239">
        <v>46014</v>
      </c>
      <c r="C1139" s="238" t="s">
        <v>5172</v>
      </c>
      <c r="D1139" s="238" t="s">
        <v>65</v>
      </c>
      <c r="E1139" s="238" t="s">
        <v>66</v>
      </c>
      <c r="F1139" s="238" t="s">
        <v>34</v>
      </c>
      <c r="G1139" s="238" t="s">
        <v>5173</v>
      </c>
      <c r="H1139" s="238" t="s">
        <v>2079</v>
      </c>
      <c r="I1139" s="244"/>
      <c r="J1139" s="241">
        <v>29</v>
      </c>
      <c r="K1139" s="241"/>
      <c r="L1139" s="241">
        <v>10000</v>
      </c>
      <c r="M1139" s="238" t="s">
        <v>318</v>
      </c>
      <c r="N1139" s="238" t="s">
        <v>86</v>
      </c>
      <c r="O1139" s="238" t="s">
        <v>5174</v>
      </c>
      <c r="P1139" s="238"/>
      <c r="Q1139" s="249" t="s">
        <v>5175</v>
      </c>
      <c r="R1139" s="238">
        <v>55402</v>
      </c>
      <c r="S1139" s="238">
        <v>44.976270999999997</v>
      </c>
      <c r="T1139" s="238">
        <v>-93.268469999999994</v>
      </c>
      <c r="U1139" s="238"/>
      <c r="V1139" s="238"/>
      <c r="W1139" s="244"/>
      <c r="X1139" s="238"/>
      <c r="Y1139" s="241"/>
      <c r="Z1139" s="241"/>
      <c r="AA1139" s="238"/>
      <c r="AB1139" s="241"/>
      <c r="AC1139" s="238" t="s">
        <v>51</v>
      </c>
      <c r="AD1139" s="250">
        <v>2025</v>
      </c>
      <c r="AE1139" s="238"/>
    </row>
    <row r="1140" spans="1:31" hidden="1">
      <c r="A1140" s="111" t="s">
        <v>4955</v>
      </c>
      <c r="B1140" s="112">
        <v>45930</v>
      </c>
      <c r="C1140" s="111" t="s">
        <v>5176</v>
      </c>
      <c r="D1140" s="111" t="s">
        <v>2857</v>
      </c>
      <c r="E1140" s="111" t="s">
        <v>572</v>
      </c>
      <c r="F1140" s="111" t="s">
        <v>34</v>
      </c>
      <c r="G1140" s="111" t="s">
        <v>5177</v>
      </c>
      <c r="H1140" s="111"/>
      <c r="I1140" s="80"/>
      <c r="J1140" s="80">
        <v>28</v>
      </c>
      <c r="K1140" s="80"/>
      <c r="L1140" s="80"/>
      <c r="M1140" s="111" t="s">
        <v>2859</v>
      </c>
      <c r="N1140" s="111" t="s">
        <v>48</v>
      </c>
      <c r="O1140" s="111" t="s">
        <v>114</v>
      </c>
      <c r="P1140" s="111" t="s">
        <v>658</v>
      </c>
      <c r="Q1140" s="111" t="s">
        <v>5178</v>
      </c>
      <c r="R1140" s="111">
        <v>55301</v>
      </c>
      <c r="S1140" s="111">
        <v>45.249630000000003</v>
      </c>
      <c r="T1140" s="111">
        <v>-93.680611999999996</v>
      </c>
      <c r="U1140" s="111" t="s">
        <v>378</v>
      </c>
      <c r="V1140" s="111" t="s">
        <v>5179</v>
      </c>
      <c r="W1140" s="80">
        <v>200000</v>
      </c>
      <c r="X1140" s="111"/>
      <c r="Y1140" s="111"/>
      <c r="Z1140" s="111"/>
      <c r="AA1140" s="111"/>
      <c r="AB1140" s="111"/>
      <c r="AC1140" s="111" t="s">
        <v>41</v>
      </c>
      <c r="AD1140" s="111">
        <v>2025</v>
      </c>
      <c r="AE1140" s="111"/>
    </row>
    <row r="1141" spans="1:31" hidden="1">
      <c r="A1141" s="2" t="s">
        <v>4928</v>
      </c>
      <c r="B1141" s="42">
        <v>45720</v>
      </c>
      <c r="C1141" s="2" t="s">
        <v>5180</v>
      </c>
      <c r="D1141" s="2" t="s">
        <v>1734</v>
      </c>
      <c r="E1141" s="2" t="s">
        <v>5181</v>
      </c>
      <c r="F1141" s="66" t="s">
        <v>34</v>
      </c>
      <c r="G1141" s="2" t="s">
        <v>5182</v>
      </c>
      <c r="H1141" s="2" t="s">
        <v>131</v>
      </c>
      <c r="J1141" s="5">
        <v>24</v>
      </c>
      <c r="K1141" s="5"/>
      <c r="L1141" s="5">
        <v>15000</v>
      </c>
      <c r="M1141" s="2" t="s">
        <v>5183</v>
      </c>
      <c r="N1141" s="2" t="s">
        <v>48</v>
      </c>
      <c r="O1141" s="2" t="s">
        <v>5184</v>
      </c>
      <c r="P1141" s="2" t="s">
        <v>5185</v>
      </c>
      <c r="Q1141" s="2" t="s">
        <v>5186</v>
      </c>
      <c r="R1141" s="2">
        <v>55370</v>
      </c>
      <c r="S1141" s="2">
        <v>44.542929000000001</v>
      </c>
      <c r="T1141" s="2">
        <v>-94.369810000000001</v>
      </c>
      <c r="U1141" s="2" t="s">
        <v>378</v>
      </c>
      <c r="V1141" s="2" t="s">
        <v>5187</v>
      </c>
      <c r="W1141" s="5">
        <v>3000</v>
      </c>
      <c r="X1141" s="2" t="s">
        <v>4938</v>
      </c>
      <c r="Y1141" s="2" t="s">
        <v>5180</v>
      </c>
      <c r="AB1141" s="2" t="s">
        <v>5188</v>
      </c>
      <c r="AC1141" s="2" t="s">
        <v>120</v>
      </c>
      <c r="AD1141" s="2">
        <f>YEAR(B1141)</f>
        <v>2025</v>
      </c>
    </row>
    <row r="1142" spans="1:31" s="111" customFormat="1" hidden="1">
      <c r="A1142" s="2" t="s">
        <v>4916</v>
      </c>
      <c r="B1142" s="42">
        <v>45789</v>
      </c>
      <c r="C1142" s="2" t="s">
        <v>5189</v>
      </c>
      <c r="D1142" s="2" t="s">
        <v>165</v>
      </c>
      <c r="E1142" s="2" t="s">
        <v>66</v>
      </c>
      <c r="F1142" s="66" t="s">
        <v>34</v>
      </c>
      <c r="G1142" s="2" t="s">
        <v>5190</v>
      </c>
      <c r="H1142" s="2" t="s">
        <v>131</v>
      </c>
      <c r="I1142" s="5"/>
      <c r="J1142" s="2">
        <v>20</v>
      </c>
      <c r="K1142" s="2"/>
      <c r="L1142" s="2">
        <f>80000-31700</f>
        <v>48300</v>
      </c>
      <c r="M1142" s="2" t="s">
        <v>5191</v>
      </c>
      <c r="N1142" s="2" t="s">
        <v>48</v>
      </c>
      <c r="O1142" s="2" t="s">
        <v>5192</v>
      </c>
      <c r="P1142" s="2" t="s">
        <v>4705</v>
      </c>
      <c r="Q1142" s="2" t="s">
        <v>5193</v>
      </c>
      <c r="R1142" s="2">
        <v>55369</v>
      </c>
      <c r="S1142" s="2">
        <v>45.123876000000003</v>
      </c>
      <c r="T1142" s="2">
        <v>-93.428032000000002</v>
      </c>
      <c r="U1142" s="2"/>
      <c r="V1142" s="2"/>
      <c r="W1142" s="2"/>
      <c r="X1142" s="2" t="s">
        <v>4938</v>
      </c>
      <c r="Y1142" s="279" t="s">
        <v>5194</v>
      </c>
      <c r="Z1142" s="279" t="s">
        <v>1309</v>
      </c>
      <c r="AA1142" s="279"/>
      <c r="AB1142" s="279" t="s">
        <v>757</v>
      </c>
      <c r="AC1142" s="2" t="s">
        <v>51</v>
      </c>
      <c r="AD1142" s="2">
        <f>YEAR(B1142)</f>
        <v>2025</v>
      </c>
      <c r="AE1142" s="2" t="s">
        <v>2319</v>
      </c>
    </row>
    <row r="1143" spans="1:31" s="111" customFormat="1" hidden="1">
      <c r="A1143" s="111" t="s">
        <v>4955</v>
      </c>
      <c r="B1143" s="112">
        <v>45856</v>
      </c>
      <c r="C1143" s="111" t="s">
        <v>5195</v>
      </c>
      <c r="D1143" s="111" t="s">
        <v>65</v>
      </c>
      <c r="E1143" s="111" t="s">
        <v>66</v>
      </c>
      <c r="F1143" s="111" t="s">
        <v>34</v>
      </c>
      <c r="G1143" s="111" t="s">
        <v>5196</v>
      </c>
      <c r="H1143" s="111" t="s">
        <v>2079</v>
      </c>
      <c r="I1143" s="80"/>
      <c r="J1143" s="80">
        <v>15</v>
      </c>
      <c r="K1143" s="80"/>
      <c r="L1143" s="80">
        <v>4200</v>
      </c>
      <c r="M1143" s="111" t="s">
        <v>4702</v>
      </c>
      <c r="N1143" s="111" t="s">
        <v>4703</v>
      </c>
      <c r="O1143" s="111" t="s">
        <v>5197</v>
      </c>
      <c r="P1143" s="111" t="s">
        <v>4705</v>
      </c>
      <c r="Q1143" s="111" t="s">
        <v>5198</v>
      </c>
      <c r="R1143" s="111">
        <v>55402</v>
      </c>
      <c r="S1143" s="111">
        <v>44.978358</v>
      </c>
      <c r="T1143" s="111">
        <v>-93.268635000000003</v>
      </c>
      <c r="W1143" s="80"/>
      <c r="Y1143" s="111" t="s">
        <v>5199</v>
      </c>
      <c r="Z1143" s="111" t="s">
        <v>5200</v>
      </c>
      <c r="AA1143" s="111" t="s">
        <v>209</v>
      </c>
      <c r="AB1143" s="111" t="s">
        <v>719</v>
      </c>
      <c r="AC1143" s="111" t="s">
        <v>51</v>
      </c>
      <c r="AD1143" s="111">
        <v>2025</v>
      </c>
    </row>
    <row r="1144" spans="1:31" s="111" customFormat="1" hidden="1">
      <c r="A1144" s="238" t="s">
        <v>4933</v>
      </c>
      <c r="B1144" s="239">
        <v>45967</v>
      </c>
      <c r="C1144" s="238" t="s">
        <v>5201</v>
      </c>
      <c r="D1144" s="238" t="s">
        <v>174</v>
      </c>
      <c r="E1144" s="238" t="s">
        <v>66</v>
      </c>
      <c r="F1144" s="238" t="s">
        <v>34</v>
      </c>
      <c r="G1144" s="238" t="s">
        <v>5202</v>
      </c>
      <c r="H1144" s="238" t="s">
        <v>131</v>
      </c>
      <c r="I1144" s="244"/>
      <c r="J1144" s="241">
        <v>10</v>
      </c>
      <c r="K1144" s="241"/>
      <c r="L1144" s="241">
        <v>14000</v>
      </c>
      <c r="M1144" s="238" t="s">
        <v>2754</v>
      </c>
      <c r="N1144" s="238" t="s">
        <v>48</v>
      </c>
      <c r="O1144" s="238" t="s">
        <v>5203</v>
      </c>
      <c r="P1144" s="238" t="s">
        <v>4705</v>
      </c>
      <c r="Q1144" s="238" t="s">
        <v>5204</v>
      </c>
      <c r="R1144" s="238">
        <v>55430</v>
      </c>
      <c r="S1144" s="238">
        <v>45.077649999999998</v>
      </c>
      <c r="T1144" s="238">
        <v>-93.302079000000006</v>
      </c>
      <c r="U1144" s="238"/>
      <c r="V1144" s="238"/>
      <c r="W1144" s="244"/>
      <c r="X1144" s="238"/>
      <c r="Y1144" s="241"/>
      <c r="Z1144" s="241"/>
      <c r="AA1144" s="238"/>
      <c r="AB1144" s="241"/>
      <c r="AC1144" s="238" t="s">
        <v>51</v>
      </c>
      <c r="AD1144" s="250">
        <v>2025</v>
      </c>
      <c r="AE1144" s="238"/>
    </row>
    <row r="1145" spans="1:31" s="111" customFormat="1" hidden="1">
      <c r="A1145" s="238" t="s">
        <v>4933</v>
      </c>
      <c r="B1145" s="239">
        <v>45995</v>
      </c>
      <c r="C1145" s="238" t="s">
        <v>5205</v>
      </c>
      <c r="D1145" s="238" t="s">
        <v>65</v>
      </c>
      <c r="E1145" s="238" t="s">
        <v>66</v>
      </c>
      <c r="F1145" s="238" t="s">
        <v>34</v>
      </c>
      <c r="G1145" s="252" t="s">
        <v>5206</v>
      </c>
      <c r="H1145" s="238"/>
      <c r="I1145" s="244"/>
      <c r="J1145" s="241">
        <v>10</v>
      </c>
      <c r="K1145" s="241"/>
      <c r="L1145" s="241"/>
      <c r="M1145" s="238" t="s">
        <v>796</v>
      </c>
      <c r="N1145" s="2" t="s">
        <v>103</v>
      </c>
      <c r="O1145" s="238" t="s">
        <v>5207</v>
      </c>
      <c r="P1145" s="238" t="s">
        <v>4705</v>
      </c>
      <c r="Q1145" s="238" t="s">
        <v>5208</v>
      </c>
      <c r="R1145" s="238">
        <v>55406</v>
      </c>
      <c r="S1145" s="238">
        <v>44.948703999999999</v>
      </c>
      <c r="T1145" s="238">
        <v>-93.232722999999993</v>
      </c>
      <c r="U1145" s="238"/>
      <c r="V1145" s="238"/>
      <c r="W1145" s="244"/>
      <c r="X1145" s="238"/>
      <c r="Y1145" s="241"/>
      <c r="Z1145" s="241"/>
      <c r="AA1145" s="238"/>
      <c r="AB1145" s="241"/>
      <c r="AC1145" s="238" t="s">
        <v>51</v>
      </c>
      <c r="AD1145" s="250">
        <v>2025</v>
      </c>
      <c r="AE1145" s="238"/>
    </row>
    <row r="1146" spans="1:31" s="111" customFormat="1" hidden="1">
      <c r="A1146" s="238" t="s">
        <v>4933</v>
      </c>
      <c r="B1146" s="239">
        <v>46008</v>
      </c>
      <c r="C1146" s="238" t="s">
        <v>5209</v>
      </c>
      <c r="D1146" s="238" t="s">
        <v>5210</v>
      </c>
      <c r="E1146" s="238" t="s">
        <v>4294</v>
      </c>
      <c r="F1146" s="238" t="s">
        <v>34</v>
      </c>
      <c r="G1146" s="238" t="s">
        <v>5211</v>
      </c>
      <c r="H1146" s="238" t="s">
        <v>5046</v>
      </c>
      <c r="I1146" s="244"/>
      <c r="J1146" s="241">
        <v>10</v>
      </c>
      <c r="K1146" s="241"/>
      <c r="L1146" s="241"/>
      <c r="M1146" s="238" t="s">
        <v>5212</v>
      </c>
      <c r="N1146" s="238" t="s">
        <v>48</v>
      </c>
      <c r="O1146" s="238" t="s">
        <v>5213</v>
      </c>
      <c r="P1146" s="238"/>
      <c r="Q1146" s="248" t="s">
        <v>5214</v>
      </c>
      <c r="R1146" s="238">
        <v>55921</v>
      </c>
      <c r="S1146" s="238">
        <v>43.628176000000003</v>
      </c>
      <c r="T1146" s="238">
        <v>-91.503800999999996</v>
      </c>
      <c r="U1146" s="238"/>
      <c r="V1146" s="238"/>
      <c r="W1146" s="244"/>
      <c r="X1146" s="238"/>
      <c r="Y1146" s="241" t="s">
        <v>5209</v>
      </c>
      <c r="Z1146" s="241" t="s">
        <v>4447</v>
      </c>
      <c r="AA1146" s="238" t="s">
        <v>209</v>
      </c>
      <c r="AB1146" s="241"/>
      <c r="AC1146" s="238" t="s">
        <v>120</v>
      </c>
      <c r="AD1146" s="250">
        <v>2025</v>
      </c>
      <c r="AE1146" s="238"/>
    </row>
    <row r="1147" spans="1:31" s="111" customFormat="1" ht="18" hidden="1">
      <c r="A1147" s="2" t="s">
        <v>4916</v>
      </c>
      <c r="B1147" s="42">
        <v>45813</v>
      </c>
      <c r="C1147" s="2" t="s">
        <v>5215</v>
      </c>
      <c r="D1147" s="2" t="s">
        <v>2857</v>
      </c>
      <c r="E1147" s="2" t="s">
        <v>572</v>
      </c>
      <c r="F1147" s="66" t="s">
        <v>34</v>
      </c>
      <c r="G1147" s="2" t="s">
        <v>5216</v>
      </c>
      <c r="H1147" s="2" t="s">
        <v>131</v>
      </c>
      <c r="I1147" s="29"/>
      <c r="J1147" s="5">
        <v>5</v>
      </c>
      <c r="K1147" s="5"/>
      <c r="L1147" s="5">
        <v>21500</v>
      </c>
      <c r="M1147" s="2" t="s">
        <v>2799</v>
      </c>
      <c r="N1147" s="2" t="s">
        <v>48</v>
      </c>
      <c r="O1147" s="2" t="s">
        <v>5217</v>
      </c>
      <c r="P1147" s="2" t="s">
        <v>5218</v>
      </c>
      <c r="Q1147" s="197" t="s">
        <v>5219</v>
      </c>
      <c r="R1147" s="2">
        <v>55301</v>
      </c>
      <c r="S1147" s="2">
        <v>45.228341</v>
      </c>
      <c r="T1147" s="2">
        <v>-93.644715000000005</v>
      </c>
      <c r="U1147" s="2" t="s">
        <v>378</v>
      </c>
      <c r="V1147" s="2" t="s">
        <v>379</v>
      </c>
      <c r="W1147" s="29">
        <v>322728</v>
      </c>
      <c r="X1147" s="2"/>
      <c r="Y1147" s="2"/>
      <c r="Z1147" s="2"/>
      <c r="AA1147" s="2"/>
      <c r="AB1147" s="2"/>
      <c r="AC1147" s="2" t="s">
        <v>41</v>
      </c>
      <c r="AD1147" s="2">
        <f>YEAR(B1147)</f>
        <v>2025</v>
      </c>
      <c r="AE1147" s="2" t="s">
        <v>2319</v>
      </c>
    </row>
    <row r="1148" spans="1:31" s="111" customFormat="1" hidden="1">
      <c r="A1148" s="238" t="s">
        <v>4933</v>
      </c>
      <c r="B1148" s="239">
        <v>45947</v>
      </c>
      <c r="C1148" s="238" t="s">
        <v>5220</v>
      </c>
      <c r="D1148" s="238" t="s">
        <v>65</v>
      </c>
      <c r="E1148" s="238" t="s">
        <v>66</v>
      </c>
      <c r="F1148" s="238" t="s">
        <v>34</v>
      </c>
      <c r="G1148" s="238" t="s">
        <v>5221</v>
      </c>
      <c r="H1148" s="238" t="s">
        <v>2079</v>
      </c>
      <c r="I1148" s="244"/>
      <c r="J1148" s="241">
        <v>4</v>
      </c>
      <c r="K1148" s="241"/>
      <c r="L1148" s="241"/>
      <c r="M1148" s="238" t="s">
        <v>4702</v>
      </c>
      <c r="N1148" s="238" t="s">
        <v>86</v>
      </c>
      <c r="O1148" s="238" t="s">
        <v>5222</v>
      </c>
      <c r="P1148" s="238" t="s">
        <v>4705</v>
      </c>
      <c r="Q1148" s="238" t="s">
        <v>5223</v>
      </c>
      <c r="R1148" s="238">
        <v>55402</v>
      </c>
      <c r="S1148" s="238">
        <v>44.97589</v>
      </c>
      <c r="T1148" s="238">
        <v>-93.276512999999994</v>
      </c>
      <c r="U1148" s="238"/>
      <c r="V1148" s="238"/>
      <c r="W1148" s="244"/>
      <c r="X1148" s="238" t="s">
        <v>2319</v>
      </c>
      <c r="Y1148" s="241" t="s">
        <v>5220</v>
      </c>
      <c r="Z1148" s="241"/>
      <c r="AA1148" s="238"/>
      <c r="AB1148" s="241" t="s">
        <v>1323</v>
      </c>
      <c r="AC1148" s="238" t="s">
        <v>51</v>
      </c>
      <c r="AD1148" s="250">
        <v>2025</v>
      </c>
      <c r="AE1148" s="238"/>
    </row>
    <row r="1149" spans="1:31" s="111" customFormat="1" hidden="1">
      <c r="A1149" s="2" t="s">
        <v>4916</v>
      </c>
      <c r="B1149" s="42">
        <v>45771</v>
      </c>
      <c r="C1149" s="2" t="s">
        <v>5224</v>
      </c>
      <c r="D1149" s="2" t="s">
        <v>372</v>
      </c>
      <c r="E1149" s="2" t="s">
        <v>182</v>
      </c>
      <c r="F1149" s="66" t="s">
        <v>34</v>
      </c>
      <c r="G1149" s="2" t="s">
        <v>5225</v>
      </c>
      <c r="H1149" s="2" t="s">
        <v>3231</v>
      </c>
      <c r="I1149" s="5"/>
      <c r="J1149" s="5">
        <v>3</v>
      </c>
      <c r="K1149" s="5"/>
      <c r="L1149" s="5"/>
      <c r="M1149" s="2" t="s">
        <v>93</v>
      </c>
      <c r="N1149" s="272" t="s">
        <v>313</v>
      </c>
      <c r="O1149" s="2" t="s">
        <v>5226</v>
      </c>
      <c r="P1149" s="2" t="s">
        <v>2597</v>
      </c>
      <c r="Q1149" s="157" t="s">
        <v>5227</v>
      </c>
      <c r="R1149" s="2">
        <v>56003</v>
      </c>
      <c r="S1149" s="2">
        <v>44.184891</v>
      </c>
      <c r="T1149" s="2">
        <v>-94.037332000000006</v>
      </c>
      <c r="U1149" s="2"/>
      <c r="V1149" s="2"/>
      <c r="W1149" s="5"/>
      <c r="X1149" s="2"/>
      <c r="Y1149" s="2"/>
      <c r="Z1149" s="2"/>
      <c r="AA1149" s="2"/>
      <c r="AB1149" s="2"/>
      <c r="AC1149" s="2" t="s">
        <v>120</v>
      </c>
      <c r="AD1149" s="2">
        <f>YEAR(B1149)</f>
        <v>2025</v>
      </c>
      <c r="AE1149" s="2" t="s">
        <v>2319</v>
      </c>
    </row>
    <row r="1150" spans="1:31" s="111" customFormat="1" hidden="1">
      <c r="A1150" s="111" t="s">
        <v>4955</v>
      </c>
      <c r="B1150" s="112">
        <v>45918</v>
      </c>
      <c r="C1150" s="111" t="s">
        <v>5228</v>
      </c>
      <c r="D1150" s="111" t="s">
        <v>5084</v>
      </c>
      <c r="E1150" s="111" t="s">
        <v>952</v>
      </c>
      <c r="F1150" s="111" t="s">
        <v>34</v>
      </c>
      <c r="G1150" s="111" t="s">
        <v>5229</v>
      </c>
      <c r="H1150" s="111" t="s">
        <v>188</v>
      </c>
      <c r="I1150" s="80"/>
      <c r="J1150" s="80">
        <v>2</v>
      </c>
      <c r="K1150" s="80"/>
      <c r="L1150" s="80">
        <v>3300</v>
      </c>
      <c r="N1150" s="111" t="s">
        <v>762</v>
      </c>
      <c r="O1150" s="111" t="s">
        <v>5230</v>
      </c>
      <c r="Q1150" s="111" t="s">
        <v>5231</v>
      </c>
      <c r="R1150" s="111">
        <v>56374</v>
      </c>
      <c r="S1150" s="111">
        <v>45.569094999999997</v>
      </c>
      <c r="T1150" s="111">
        <v>-94.317179999999993</v>
      </c>
      <c r="W1150" s="80"/>
      <c r="AC1150" s="111" t="s">
        <v>41</v>
      </c>
      <c r="AD1150" s="111">
        <v>2025</v>
      </c>
    </row>
    <row r="1151" spans="1:31" s="111" customFormat="1" hidden="1">
      <c r="A1151" s="2" t="s">
        <v>4928</v>
      </c>
      <c r="B1151" s="42">
        <v>45665</v>
      </c>
      <c r="C1151" s="1" t="s">
        <v>5232</v>
      </c>
      <c r="D1151" s="2" t="s">
        <v>776</v>
      </c>
      <c r="E1151" s="2" t="s">
        <v>66</v>
      </c>
      <c r="F1151" s="66" t="s">
        <v>34</v>
      </c>
      <c r="G1151" s="2" t="s">
        <v>5233</v>
      </c>
      <c r="H1151" s="2" t="s">
        <v>1359</v>
      </c>
      <c r="I1151" s="29"/>
      <c r="J1151" s="5"/>
      <c r="K1151" s="5"/>
      <c r="L1151" s="5">
        <v>33600</v>
      </c>
      <c r="M1151" s="2"/>
      <c r="N1151" s="2" t="s">
        <v>384</v>
      </c>
      <c r="O1151" s="2" t="s">
        <v>5234</v>
      </c>
      <c r="P1151" s="2" t="s">
        <v>4705</v>
      </c>
      <c r="Q1151" s="2" t="s">
        <v>5235</v>
      </c>
      <c r="R1151" s="2">
        <v>55436</v>
      </c>
      <c r="S1151" s="2">
        <v>44.910004000000001</v>
      </c>
      <c r="T1151" s="2">
        <v>-93.351977000000005</v>
      </c>
      <c r="U1151" s="2"/>
      <c r="V1151" s="2"/>
      <c r="W1151" s="29"/>
      <c r="X1151" s="2"/>
      <c r="Y1151" s="2"/>
      <c r="Z1151" s="2"/>
      <c r="AA1151" s="2"/>
      <c r="AB1151" s="2"/>
      <c r="AC1151" s="2" t="s">
        <v>51</v>
      </c>
      <c r="AD1151" s="2">
        <f t="shared" ref="AD1151:AD1175" si="19">YEAR(B1151)</f>
        <v>2025</v>
      </c>
      <c r="AE1151" s="2"/>
    </row>
    <row r="1152" spans="1:31" s="111" customFormat="1" hidden="1">
      <c r="A1152" s="2" t="s">
        <v>4928</v>
      </c>
      <c r="B1152" s="42">
        <v>45667</v>
      </c>
      <c r="C1152" s="1" t="s">
        <v>5236</v>
      </c>
      <c r="D1152" s="2" t="s">
        <v>5084</v>
      </c>
      <c r="E1152" s="2" t="s">
        <v>952</v>
      </c>
      <c r="F1152" s="66" t="s">
        <v>34</v>
      </c>
      <c r="G1152" s="2" t="s">
        <v>5237</v>
      </c>
      <c r="H1152" s="2" t="s">
        <v>4661</v>
      </c>
      <c r="I1152" s="5"/>
      <c r="J1152" s="5"/>
      <c r="K1152" s="5"/>
      <c r="L1152" s="5">
        <v>15000</v>
      </c>
      <c r="M1152" s="2" t="s">
        <v>93</v>
      </c>
      <c r="N1152" s="2" t="s">
        <v>48</v>
      </c>
      <c r="O1152" s="2" t="s">
        <v>5238</v>
      </c>
      <c r="P1152" s="2" t="s">
        <v>5087</v>
      </c>
      <c r="Q1152" s="2"/>
      <c r="R1152" s="2">
        <v>56374</v>
      </c>
      <c r="S1152" s="2">
        <v>45.564959999999999</v>
      </c>
      <c r="T1152" s="2">
        <v>-94.318330000000003</v>
      </c>
      <c r="U1152" s="2"/>
      <c r="V1152" s="2"/>
      <c r="W1152" s="5"/>
      <c r="X1152" s="2"/>
      <c r="Y1152" s="2"/>
      <c r="Z1152" s="2"/>
      <c r="AA1152" s="2"/>
      <c r="AB1152" s="2"/>
      <c r="AC1152" s="2" t="s">
        <v>41</v>
      </c>
      <c r="AD1152" s="2">
        <f t="shared" si="19"/>
        <v>2025</v>
      </c>
      <c r="AE1152" s="2"/>
    </row>
    <row r="1153" spans="1:31" s="111" customFormat="1" hidden="1">
      <c r="A1153" s="2" t="s">
        <v>4928</v>
      </c>
      <c r="B1153" s="42">
        <v>45680</v>
      </c>
      <c r="C1153" s="2" t="s">
        <v>4980</v>
      </c>
      <c r="D1153" s="2" t="s">
        <v>270</v>
      </c>
      <c r="E1153" s="2" t="s">
        <v>99</v>
      </c>
      <c r="F1153" s="66" t="s">
        <v>34</v>
      </c>
      <c r="G1153" s="2" t="s">
        <v>5239</v>
      </c>
      <c r="H1153" s="2" t="s">
        <v>3038</v>
      </c>
      <c r="I1153" s="5"/>
      <c r="J1153" s="5"/>
      <c r="K1153" s="5"/>
      <c r="L1153" s="5">
        <v>28000</v>
      </c>
      <c r="M1153" s="2" t="s">
        <v>167</v>
      </c>
      <c r="N1153" s="2" t="s">
        <v>48</v>
      </c>
      <c r="O1153" s="2" t="s">
        <v>5240</v>
      </c>
      <c r="P1153" s="2" t="s">
        <v>4705</v>
      </c>
      <c r="Q1153" s="2" t="s">
        <v>4983</v>
      </c>
      <c r="R1153" s="2">
        <v>55112</v>
      </c>
      <c r="S1153" s="2">
        <v>45.055141999999996</v>
      </c>
      <c r="T1153" s="2">
        <v>-93.155147999999997</v>
      </c>
      <c r="U1153" s="2"/>
      <c r="V1153" s="2"/>
      <c r="W1153" s="5"/>
      <c r="X1153" s="2"/>
      <c r="Y1153" s="2"/>
      <c r="Z1153" s="2"/>
      <c r="AA1153" s="2"/>
      <c r="AB1153" s="2"/>
      <c r="AC1153" s="2" t="s">
        <v>51</v>
      </c>
      <c r="AD1153" s="2">
        <f t="shared" si="19"/>
        <v>2025</v>
      </c>
      <c r="AE1153" s="2"/>
    </row>
    <row r="1154" spans="1:31" s="111" customFormat="1" hidden="1">
      <c r="A1154" s="2" t="s">
        <v>4928</v>
      </c>
      <c r="B1154" s="42">
        <v>45681</v>
      </c>
      <c r="C1154" s="83" t="s">
        <v>5241</v>
      </c>
      <c r="D1154" s="2" t="s">
        <v>340</v>
      </c>
      <c r="E1154" s="2" t="s">
        <v>66</v>
      </c>
      <c r="F1154" s="66" t="s">
        <v>34</v>
      </c>
      <c r="G1154" s="2" t="s">
        <v>5242</v>
      </c>
      <c r="H1154" s="2" t="s">
        <v>131</v>
      </c>
      <c r="I1154" s="5"/>
      <c r="J1154" s="5"/>
      <c r="K1154" s="5"/>
      <c r="L1154" s="5"/>
      <c r="M1154" s="2" t="s">
        <v>93</v>
      </c>
      <c r="N1154" s="2" t="s">
        <v>48</v>
      </c>
      <c r="O1154" s="7" t="s">
        <v>5243</v>
      </c>
      <c r="P1154" s="2" t="s">
        <v>4705</v>
      </c>
      <c r="Q1154" s="2" t="s">
        <v>5244</v>
      </c>
      <c r="R1154" s="2">
        <v>55447</v>
      </c>
      <c r="S1154" s="2">
        <v>45.020057000000001</v>
      </c>
      <c r="T1154" s="2">
        <v>-93.457093999999998</v>
      </c>
      <c r="U1154" s="2"/>
      <c r="V1154" s="2"/>
      <c r="W1154" s="5"/>
      <c r="X1154" s="2" t="s">
        <v>4938</v>
      </c>
      <c r="Y1154" s="2" t="s">
        <v>5241</v>
      </c>
      <c r="Z1154" s="2"/>
      <c r="AA1154" s="2"/>
      <c r="AB1154" s="2" t="s">
        <v>1098</v>
      </c>
      <c r="AC1154" s="2" t="s">
        <v>51</v>
      </c>
      <c r="AD1154" s="2">
        <f t="shared" si="19"/>
        <v>2025</v>
      </c>
      <c r="AE1154" s="2"/>
    </row>
    <row r="1155" spans="1:31" s="111" customFormat="1" hidden="1">
      <c r="A1155" s="2" t="s">
        <v>4928</v>
      </c>
      <c r="B1155" s="42">
        <v>45684</v>
      </c>
      <c r="C1155" s="2" t="s">
        <v>5245</v>
      </c>
      <c r="D1155" s="2" t="s">
        <v>448</v>
      </c>
      <c r="E1155" s="2" t="s">
        <v>66</v>
      </c>
      <c r="F1155" s="66" t="s">
        <v>34</v>
      </c>
      <c r="G1155" s="2" t="s">
        <v>5246</v>
      </c>
      <c r="H1155" s="2" t="s">
        <v>1359</v>
      </c>
      <c r="I1155" s="5"/>
      <c r="J1155" s="5"/>
      <c r="K1155" s="5"/>
      <c r="L1155" s="5">
        <v>92000</v>
      </c>
      <c r="M1155" s="2"/>
      <c r="N1155" s="2" t="s">
        <v>313</v>
      </c>
      <c r="O1155" s="2" t="s">
        <v>5247</v>
      </c>
      <c r="P1155" s="2" t="s">
        <v>4705</v>
      </c>
      <c r="Q1155" s="2" t="s">
        <v>5248</v>
      </c>
      <c r="R1155" s="2">
        <v>55343</v>
      </c>
      <c r="S1155" s="2">
        <v>44.891055999999999</v>
      </c>
      <c r="T1155" s="2">
        <v>-93.407538000000002</v>
      </c>
      <c r="U1155" s="2"/>
      <c r="V1155" s="2"/>
      <c r="W1155" s="5"/>
      <c r="X1155" s="2"/>
      <c r="Y1155" s="2"/>
      <c r="Z1155" s="2"/>
      <c r="AA1155" s="2"/>
      <c r="AB1155" s="2"/>
      <c r="AC1155" s="2" t="s">
        <v>51</v>
      </c>
      <c r="AD1155" s="2">
        <f t="shared" si="19"/>
        <v>2025</v>
      </c>
      <c r="AE1155" s="2"/>
    </row>
    <row r="1156" spans="1:31" s="111" customFormat="1" hidden="1">
      <c r="A1156" s="2" t="s">
        <v>4928</v>
      </c>
      <c r="B1156" s="42">
        <v>45698</v>
      </c>
      <c r="C1156" s="2" t="s">
        <v>5249</v>
      </c>
      <c r="D1156" s="2" t="s">
        <v>203</v>
      </c>
      <c r="E1156" s="2" t="s">
        <v>74</v>
      </c>
      <c r="F1156" s="66" t="s">
        <v>34</v>
      </c>
      <c r="G1156" s="2" t="s">
        <v>5250</v>
      </c>
      <c r="H1156" s="2" t="s">
        <v>2130</v>
      </c>
      <c r="I1156" s="5"/>
      <c r="J1156" s="5"/>
      <c r="K1156" s="5"/>
      <c r="L1156" s="5">
        <v>282000</v>
      </c>
      <c r="M1156" s="2" t="s">
        <v>2754</v>
      </c>
      <c r="N1156" s="2" t="s">
        <v>48</v>
      </c>
      <c r="O1156" s="2" t="s">
        <v>5251</v>
      </c>
      <c r="P1156" s="2" t="s">
        <v>647</v>
      </c>
      <c r="Q1156" s="2" t="s">
        <v>5252</v>
      </c>
      <c r="R1156" s="2">
        <v>55122</v>
      </c>
      <c r="S1156" s="2">
        <v>44.830719000000002</v>
      </c>
      <c r="T1156" s="2">
        <v>-93.192853999999997</v>
      </c>
      <c r="U1156" s="2"/>
      <c r="V1156" s="2"/>
      <c r="W1156" s="5"/>
      <c r="X1156" s="2"/>
      <c r="Y1156" s="2"/>
      <c r="Z1156" s="2"/>
      <c r="AA1156" s="2"/>
      <c r="AB1156" s="2"/>
      <c r="AC1156" s="2" t="s">
        <v>51</v>
      </c>
      <c r="AD1156" s="2">
        <f t="shared" si="19"/>
        <v>2025</v>
      </c>
      <c r="AE1156" s="2"/>
    </row>
    <row r="1157" spans="1:31" s="111" customFormat="1" hidden="1">
      <c r="A1157" s="2" t="s">
        <v>4928</v>
      </c>
      <c r="B1157" s="42">
        <v>45700</v>
      </c>
      <c r="C1157" s="2" t="s">
        <v>5253</v>
      </c>
      <c r="D1157" s="2" t="s">
        <v>5254</v>
      </c>
      <c r="E1157" s="2" t="s">
        <v>44</v>
      </c>
      <c r="F1157" s="66" t="s">
        <v>34</v>
      </c>
      <c r="G1157" s="2" t="s">
        <v>5255</v>
      </c>
      <c r="H1157" s="2" t="s">
        <v>4519</v>
      </c>
      <c r="I1157" s="5"/>
      <c r="J1157" s="5"/>
      <c r="K1157" s="5"/>
      <c r="L1157" s="5">
        <v>32000</v>
      </c>
      <c r="M1157" s="2" t="s">
        <v>5256</v>
      </c>
      <c r="N1157" s="2" t="s">
        <v>4703</v>
      </c>
      <c r="O1157" s="2" t="s">
        <v>5257</v>
      </c>
      <c r="P1157" s="2" t="s">
        <v>5258</v>
      </c>
      <c r="Q1157" s="2" t="s">
        <v>5259</v>
      </c>
      <c r="R1157" s="2">
        <v>55042</v>
      </c>
      <c r="S1157" s="2">
        <v>44.950574000000003</v>
      </c>
      <c r="T1157" s="2">
        <v>-92.878980999999996</v>
      </c>
      <c r="U1157" s="2"/>
      <c r="V1157" s="2"/>
      <c r="W1157" s="5"/>
      <c r="X1157" s="2"/>
      <c r="Y1157" s="2"/>
      <c r="Z1157" s="2"/>
      <c r="AA1157" s="2"/>
      <c r="AB1157" s="2"/>
      <c r="AC1157" s="2" t="s">
        <v>51</v>
      </c>
      <c r="AD1157" s="2">
        <f t="shared" si="19"/>
        <v>2025</v>
      </c>
      <c r="AE1157" s="2"/>
    </row>
    <row r="1158" spans="1:31" s="111" customFormat="1" hidden="1">
      <c r="A1158" s="2" t="s">
        <v>4928</v>
      </c>
      <c r="B1158" s="42">
        <v>45708</v>
      </c>
      <c r="C1158" s="2" t="s">
        <v>4003</v>
      </c>
      <c r="D1158" s="2" t="s">
        <v>528</v>
      </c>
      <c r="E1158" s="2" t="s">
        <v>66</v>
      </c>
      <c r="F1158" s="66" t="s">
        <v>34</v>
      </c>
      <c r="G1158" s="2" t="s">
        <v>5260</v>
      </c>
      <c r="H1158" s="2" t="s">
        <v>2079</v>
      </c>
      <c r="I1158" s="5"/>
      <c r="J1158" s="5"/>
      <c r="K1158" s="5"/>
      <c r="L1158" s="5"/>
      <c r="M1158" s="2"/>
      <c r="N1158" s="2" t="s">
        <v>2459</v>
      </c>
      <c r="O1158" s="2" t="s">
        <v>5261</v>
      </c>
      <c r="P1158" s="2" t="s">
        <v>4705</v>
      </c>
      <c r="Q1158" s="2" t="s">
        <v>5262</v>
      </c>
      <c r="R1158" s="2">
        <v>55439</v>
      </c>
      <c r="S1158" s="2">
        <v>44.976354000000001</v>
      </c>
      <c r="T1158" s="2">
        <v>-93.255191999999994</v>
      </c>
      <c r="U1158" s="2"/>
      <c r="V1158" s="2"/>
      <c r="W1158" s="5"/>
      <c r="X1158" s="2" t="s">
        <v>4938</v>
      </c>
      <c r="Y1158" s="2" t="s">
        <v>4007</v>
      </c>
      <c r="Z1158" s="2"/>
      <c r="AA1158" s="2"/>
      <c r="AB1158" s="2" t="s">
        <v>1323</v>
      </c>
      <c r="AC1158" s="2" t="s">
        <v>51</v>
      </c>
      <c r="AD1158" s="2">
        <f t="shared" si="19"/>
        <v>2025</v>
      </c>
      <c r="AE1158" s="2"/>
    </row>
    <row r="1159" spans="1:31" s="111" customFormat="1" hidden="1">
      <c r="A1159" s="2" t="s">
        <v>4928</v>
      </c>
      <c r="B1159" s="42">
        <v>45708</v>
      </c>
      <c r="C1159" s="2" t="s">
        <v>4003</v>
      </c>
      <c r="D1159" s="2" t="s">
        <v>4700</v>
      </c>
      <c r="E1159" s="2" t="s">
        <v>66</v>
      </c>
      <c r="F1159" s="66" t="s">
        <v>34</v>
      </c>
      <c r="G1159" s="2" t="s">
        <v>5260</v>
      </c>
      <c r="H1159" s="2" t="s">
        <v>2079</v>
      </c>
      <c r="I1159" s="5"/>
      <c r="J1159" s="5"/>
      <c r="K1159" s="5"/>
      <c r="L1159" s="5"/>
      <c r="M1159" s="2"/>
      <c r="N1159" s="2" t="s">
        <v>2459</v>
      </c>
      <c r="O1159" s="2" t="s">
        <v>5261</v>
      </c>
      <c r="P1159" s="2" t="s">
        <v>4705</v>
      </c>
      <c r="Q1159" s="2" t="s">
        <v>5263</v>
      </c>
      <c r="R1159" s="2">
        <v>55415</v>
      </c>
      <c r="S1159" s="2">
        <v>44.984439000000002</v>
      </c>
      <c r="T1159" s="2">
        <v>-93.273833999999994</v>
      </c>
      <c r="U1159" s="2"/>
      <c r="V1159" s="2"/>
      <c r="W1159" s="5"/>
      <c r="X1159" s="2" t="s">
        <v>4938</v>
      </c>
      <c r="Y1159" s="2" t="s">
        <v>4007</v>
      </c>
      <c r="Z1159" s="2"/>
      <c r="AA1159" s="2"/>
      <c r="AB1159" s="2" t="s">
        <v>1323</v>
      </c>
      <c r="AC1159" s="2" t="s">
        <v>51</v>
      </c>
      <c r="AD1159" s="2">
        <f t="shared" si="19"/>
        <v>2025</v>
      </c>
      <c r="AE1159" s="2"/>
    </row>
    <row r="1160" spans="1:31" s="111" customFormat="1" hidden="1">
      <c r="A1160" s="2" t="s">
        <v>4928</v>
      </c>
      <c r="B1160" s="42">
        <v>45708</v>
      </c>
      <c r="C1160" s="2" t="s">
        <v>4003</v>
      </c>
      <c r="D1160" s="2" t="s">
        <v>415</v>
      </c>
      <c r="E1160" s="2" t="s">
        <v>952</v>
      </c>
      <c r="F1160" s="66" t="s">
        <v>34</v>
      </c>
      <c r="G1160" s="2" t="s">
        <v>5260</v>
      </c>
      <c r="H1160" s="2" t="s">
        <v>2079</v>
      </c>
      <c r="I1160" s="5"/>
      <c r="J1160" s="5"/>
      <c r="K1160" s="5"/>
      <c r="L1160" s="5"/>
      <c r="M1160" s="2"/>
      <c r="N1160" s="2" t="s">
        <v>2459</v>
      </c>
      <c r="O1160" s="2" t="s">
        <v>5261</v>
      </c>
      <c r="P1160" s="2" t="s">
        <v>4705</v>
      </c>
      <c r="Q1160" s="2" t="s">
        <v>5264</v>
      </c>
      <c r="R1160" s="2">
        <v>56301</v>
      </c>
      <c r="S1160" s="2">
        <v>45.561137000000002</v>
      </c>
      <c r="T1160" s="2">
        <v>-94.158377999999999</v>
      </c>
      <c r="U1160" s="2"/>
      <c r="V1160" s="2"/>
      <c r="W1160" s="5"/>
      <c r="X1160" s="2" t="s">
        <v>4938</v>
      </c>
      <c r="Y1160" s="2" t="s">
        <v>4007</v>
      </c>
      <c r="Z1160" s="2"/>
      <c r="AA1160" s="2"/>
      <c r="AB1160" s="2" t="s">
        <v>1323</v>
      </c>
      <c r="AC1160" s="2" t="s">
        <v>41</v>
      </c>
      <c r="AD1160" s="2">
        <f t="shared" si="19"/>
        <v>2025</v>
      </c>
      <c r="AE1160" s="2"/>
    </row>
    <row r="1161" spans="1:31" s="111" customFormat="1" hidden="1">
      <c r="A1161" s="2" t="s">
        <v>4928</v>
      </c>
      <c r="B1161" s="42">
        <v>45708</v>
      </c>
      <c r="C1161" s="2" t="s">
        <v>4003</v>
      </c>
      <c r="D1161" s="2" t="s">
        <v>2443</v>
      </c>
      <c r="E1161" s="2" t="s">
        <v>74</v>
      </c>
      <c r="F1161" s="66" t="s">
        <v>34</v>
      </c>
      <c r="G1161" s="2" t="s">
        <v>5260</v>
      </c>
      <c r="H1161" s="2" t="s">
        <v>2079</v>
      </c>
      <c r="I1161" s="5"/>
      <c r="J1161" s="5"/>
      <c r="K1161" s="5"/>
      <c r="L1161" s="5"/>
      <c r="M1161" s="2"/>
      <c r="N1161" s="2" t="s">
        <v>2459</v>
      </c>
      <c r="O1161" s="2" t="s">
        <v>5261</v>
      </c>
      <c r="P1161" s="2" t="s">
        <v>4705</v>
      </c>
      <c r="Q1161" s="2" t="s">
        <v>5265</v>
      </c>
      <c r="R1161" s="2">
        <v>55033</v>
      </c>
      <c r="S1161" s="2">
        <v>44.737631999999998</v>
      </c>
      <c r="T1161" s="2">
        <v>-92.886759999999995</v>
      </c>
      <c r="U1161" s="2"/>
      <c r="V1161" s="2"/>
      <c r="W1161" s="5"/>
      <c r="X1161" s="2" t="s">
        <v>4938</v>
      </c>
      <c r="Y1161" s="2" t="s">
        <v>4007</v>
      </c>
      <c r="Z1161" s="2"/>
      <c r="AA1161" s="2"/>
      <c r="AB1161" s="2" t="s">
        <v>1323</v>
      </c>
      <c r="AC1161" s="2" t="s">
        <v>51</v>
      </c>
      <c r="AD1161" s="2">
        <f t="shared" si="19"/>
        <v>2025</v>
      </c>
      <c r="AE1161" s="2"/>
    </row>
    <row r="1162" spans="1:31" s="111" customFormat="1" hidden="1">
      <c r="A1162" s="2" t="s">
        <v>4928</v>
      </c>
      <c r="B1162" s="42">
        <v>45708</v>
      </c>
      <c r="C1162" s="2" t="s">
        <v>4003</v>
      </c>
      <c r="D1162" s="2" t="s">
        <v>203</v>
      </c>
      <c r="E1162" s="2" t="s">
        <v>74</v>
      </c>
      <c r="F1162" s="66" t="s">
        <v>34</v>
      </c>
      <c r="G1162" s="2" t="s">
        <v>5260</v>
      </c>
      <c r="H1162" s="2" t="s">
        <v>2079</v>
      </c>
      <c r="I1162" s="5"/>
      <c r="J1162" s="5"/>
      <c r="K1162" s="5"/>
      <c r="L1162" s="5"/>
      <c r="M1162" s="2"/>
      <c r="N1162" s="2" t="s">
        <v>2459</v>
      </c>
      <c r="O1162" s="2" t="s">
        <v>5261</v>
      </c>
      <c r="P1162" s="2" t="s">
        <v>4705</v>
      </c>
      <c r="Q1162" s="2" t="s">
        <v>5266</v>
      </c>
      <c r="R1162" s="2">
        <v>55122</v>
      </c>
      <c r="S1162" s="2">
        <v>44.779817999999999</v>
      </c>
      <c r="T1162" s="2">
        <v>-93.222494999999995</v>
      </c>
      <c r="U1162" s="2"/>
      <c r="V1162" s="2"/>
      <c r="W1162" s="5"/>
      <c r="X1162" s="2" t="s">
        <v>4938</v>
      </c>
      <c r="Y1162" s="2" t="s">
        <v>4007</v>
      </c>
      <c r="Z1162" s="2"/>
      <c r="AA1162" s="2"/>
      <c r="AB1162" s="2" t="s">
        <v>1323</v>
      </c>
      <c r="AC1162" s="2" t="s">
        <v>51</v>
      </c>
      <c r="AD1162" s="2">
        <f t="shared" si="19"/>
        <v>2025</v>
      </c>
      <c r="AE1162" s="2"/>
    </row>
    <row r="1163" spans="1:31" s="111" customFormat="1" hidden="1">
      <c r="A1163" s="2" t="s">
        <v>4928</v>
      </c>
      <c r="B1163" s="42">
        <v>45733</v>
      </c>
      <c r="C1163" s="2" t="s">
        <v>5267</v>
      </c>
      <c r="D1163" s="2" t="s">
        <v>53</v>
      </c>
      <c r="E1163" s="2" t="s">
        <v>54</v>
      </c>
      <c r="F1163" s="66" t="s">
        <v>34</v>
      </c>
      <c r="G1163" s="2" t="s">
        <v>5268</v>
      </c>
      <c r="H1163" s="2" t="s">
        <v>4197</v>
      </c>
      <c r="I1163" s="5"/>
      <c r="J1163" s="5"/>
      <c r="K1163" s="5"/>
      <c r="L1163" s="5">
        <v>240000</v>
      </c>
      <c r="M1163" s="2" t="s">
        <v>5269</v>
      </c>
      <c r="N1163" s="2" t="s">
        <v>48</v>
      </c>
      <c r="O1163" s="2" t="s">
        <v>5270</v>
      </c>
      <c r="P1163" s="2" t="s">
        <v>647</v>
      </c>
      <c r="Q1163" s="2" t="s">
        <v>5271</v>
      </c>
      <c r="R1163" s="2">
        <v>55318</v>
      </c>
      <c r="S1163" s="2">
        <v>44.807220999999998</v>
      </c>
      <c r="T1163" s="2">
        <v>-93.646288999999996</v>
      </c>
      <c r="U1163" s="2"/>
      <c r="V1163" s="273" t="s">
        <v>5272</v>
      </c>
      <c r="W1163" s="5"/>
      <c r="X1163" s="2"/>
      <c r="Y1163" s="2"/>
      <c r="Z1163" s="2"/>
      <c r="AA1163" s="2"/>
      <c r="AB1163" s="2"/>
      <c r="AC1163" s="2" t="s">
        <v>51</v>
      </c>
      <c r="AD1163" s="2">
        <f t="shared" si="19"/>
        <v>2025</v>
      </c>
      <c r="AE1163" s="2"/>
    </row>
    <row r="1164" spans="1:31" s="111" customFormat="1" hidden="1">
      <c r="A1164" s="2" t="s">
        <v>4916</v>
      </c>
      <c r="B1164" s="42">
        <v>45770</v>
      </c>
      <c r="C1164" s="2" t="s">
        <v>5273</v>
      </c>
      <c r="D1164" s="2" t="s">
        <v>546</v>
      </c>
      <c r="E1164" s="2" t="s">
        <v>74</v>
      </c>
      <c r="F1164" s="66" t="s">
        <v>34</v>
      </c>
      <c r="G1164" s="272" t="s">
        <v>5274</v>
      </c>
      <c r="H1164" s="2" t="s">
        <v>2422</v>
      </c>
      <c r="I1164" s="5"/>
      <c r="J1164" s="5"/>
      <c r="K1164" s="5"/>
      <c r="L1164" s="5">
        <v>176700</v>
      </c>
      <c r="M1164" s="2"/>
      <c r="N1164" s="2" t="s">
        <v>1462</v>
      </c>
      <c r="O1164" s="2" t="s">
        <v>5275</v>
      </c>
      <c r="P1164" s="2" t="s">
        <v>647</v>
      </c>
      <c r="Q1164" s="272" t="s">
        <v>5276</v>
      </c>
      <c r="R1164" s="279">
        <v>55044</v>
      </c>
      <c r="S1164" s="279">
        <v>44.633420999999998</v>
      </c>
      <c r="T1164" s="279">
        <v>-93.258120000000005</v>
      </c>
      <c r="U1164" s="2"/>
      <c r="V1164" s="2"/>
      <c r="W1164" s="5"/>
      <c r="X1164" s="2"/>
      <c r="Y1164" s="2"/>
      <c r="Z1164" s="2"/>
      <c r="AA1164" s="2"/>
      <c r="AB1164" s="2"/>
      <c r="AC1164" s="2" t="s">
        <v>51</v>
      </c>
      <c r="AD1164" s="2">
        <f t="shared" si="19"/>
        <v>2025</v>
      </c>
      <c r="AE1164" s="2" t="s">
        <v>2319</v>
      </c>
    </row>
    <row r="1165" spans="1:31" s="111" customFormat="1" hidden="1">
      <c r="A1165" s="2" t="s">
        <v>4916</v>
      </c>
      <c r="B1165" s="42">
        <v>45775</v>
      </c>
      <c r="C1165" s="2" t="s">
        <v>5277</v>
      </c>
      <c r="D1165" s="2" t="s">
        <v>591</v>
      </c>
      <c r="E1165" s="2" t="s">
        <v>66</v>
      </c>
      <c r="F1165" s="66" t="s">
        <v>34</v>
      </c>
      <c r="G1165" s="2" t="s">
        <v>5278</v>
      </c>
      <c r="H1165" s="2" t="s">
        <v>1024</v>
      </c>
      <c r="I1165" s="5"/>
      <c r="J1165" s="5"/>
      <c r="K1165" s="5"/>
      <c r="L1165" s="5">
        <v>98000</v>
      </c>
      <c r="M1165" s="2" t="s">
        <v>132</v>
      </c>
      <c r="N1165" s="2" t="s">
        <v>48</v>
      </c>
      <c r="O1165" s="2" t="s">
        <v>5279</v>
      </c>
      <c r="P1165" s="2" t="s">
        <v>4705</v>
      </c>
      <c r="Q1165" s="2" t="s">
        <v>5280</v>
      </c>
      <c r="R1165" s="2">
        <v>55343</v>
      </c>
      <c r="S1165" s="2">
        <v>44.896129999999999</v>
      </c>
      <c r="T1165" s="2">
        <v>-93.417511000000005</v>
      </c>
      <c r="U1165" s="2"/>
      <c r="V1165" s="2"/>
      <c r="W1165" s="5"/>
      <c r="X1165" s="2" t="s">
        <v>4938</v>
      </c>
      <c r="Y1165" s="2" t="s">
        <v>5277</v>
      </c>
      <c r="Z1165" s="2"/>
      <c r="AA1165" s="2"/>
      <c r="AB1165" s="2" t="s">
        <v>719</v>
      </c>
      <c r="AC1165" s="2" t="s">
        <v>51</v>
      </c>
      <c r="AD1165" s="2">
        <f t="shared" si="19"/>
        <v>2025</v>
      </c>
      <c r="AE1165" s="2" t="s">
        <v>2319</v>
      </c>
    </row>
    <row r="1166" spans="1:31" s="111" customFormat="1" hidden="1">
      <c r="A1166" s="2" t="s">
        <v>4916</v>
      </c>
      <c r="B1166" s="42">
        <v>45786</v>
      </c>
      <c r="C1166" s="2" t="s">
        <v>5281</v>
      </c>
      <c r="D1166" s="2" t="s">
        <v>415</v>
      </c>
      <c r="E1166" s="2" t="s">
        <v>952</v>
      </c>
      <c r="F1166" s="66" t="s">
        <v>34</v>
      </c>
      <c r="G1166" s="2" t="s">
        <v>5282</v>
      </c>
      <c r="H1166" s="2"/>
      <c r="I1166" s="5"/>
      <c r="J1166" s="5"/>
      <c r="K1166" s="5"/>
      <c r="L1166" s="5"/>
      <c r="M1166" s="2" t="s">
        <v>77</v>
      </c>
      <c r="N1166" s="2" t="s">
        <v>48</v>
      </c>
      <c r="O1166" s="2" t="s">
        <v>5283</v>
      </c>
      <c r="P1166" s="2" t="s">
        <v>4079</v>
      </c>
      <c r="Q1166" s="2" t="s">
        <v>5284</v>
      </c>
      <c r="R1166" s="2">
        <v>56301</v>
      </c>
      <c r="S1166" s="2">
        <v>45.463672000000003</v>
      </c>
      <c r="T1166" s="2">
        <v>-94.122744999999995</v>
      </c>
      <c r="U1166" s="2"/>
      <c r="V1166" s="2"/>
      <c r="W1166" s="5"/>
      <c r="X1166" s="2"/>
      <c r="Y1166" s="2"/>
      <c r="Z1166" s="2"/>
      <c r="AA1166" s="2"/>
      <c r="AB1166" s="2"/>
      <c r="AC1166" s="2" t="s">
        <v>41</v>
      </c>
      <c r="AD1166" s="2">
        <f t="shared" si="19"/>
        <v>2025</v>
      </c>
      <c r="AE1166" s="2" t="s">
        <v>2319</v>
      </c>
    </row>
    <row r="1167" spans="1:31" s="111" customFormat="1" hidden="1">
      <c r="A1167" s="2" t="s">
        <v>4916</v>
      </c>
      <c r="B1167" s="42">
        <v>45786</v>
      </c>
      <c r="C1167" s="2" t="s">
        <v>5285</v>
      </c>
      <c r="D1167" s="2" t="s">
        <v>1007</v>
      </c>
      <c r="E1167" s="2" t="s">
        <v>677</v>
      </c>
      <c r="F1167" s="66" t="s">
        <v>34</v>
      </c>
      <c r="G1167" s="2" t="s">
        <v>5286</v>
      </c>
      <c r="H1167" s="2" t="s">
        <v>5287</v>
      </c>
      <c r="I1167" s="5"/>
      <c r="J1167" s="5"/>
      <c r="K1167" s="5"/>
      <c r="L1167" s="5">
        <f>45024-30000</f>
        <v>15024</v>
      </c>
      <c r="M1167" s="2"/>
      <c r="N1167" s="2" t="s">
        <v>253</v>
      </c>
      <c r="O1167" s="2" t="s">
        <v>5288</v>
      </c>
      <c r="P1167" s="2" t="s">
        <v>4705</v>
      </c>
      <c r="Q1167" s="2" t="s">
        <v>5289</v>
      </c>
      <c r="R1167" s="2">
        <v>55449</v>
      </c>
      <c r="S1167" s="2">
        <v>45.152712999999999</v>
      </c>
      <c r="T1167" s="2">
        <v>-93.191660999999996</v>
      </c>
      <c r="U1167" s="2"/>
      <c r="V1167" s="2"/>
      <c r="W1167" s="5"/>
      <c r="X1167" s="2"/>
      <c r="Y1167" s="2"/>
      <c r="Z1167" s="2"/>
      <c r="AA1167" s="2"/>
      <c r="AB1167" s="2"/>
      <c r="AC1167" s="2" t="s">
        <v>51</v>
      </c>
      <c r="AD1167" s="2">
        <f t="shared" si="19"/>
        <v>2025</v>
      </c>
      <c r="AE1167" s="2" t="s">
        <v>2319</v>
      </c>
    </row>
    <row r="1168" spans="1:31" s="111" customFormat="1" ht="18" hidden="1">
      <c r="A1168" s="2" t="s">
        <v>4916</v>
      </c>
      <c r="B1168" s="42">
        <v>45792</v>
      </c>
      <c r="C1168" s="2" t="s">
        <v>442</v>
      </c>
      <c r="D1168" s="2" t="s">
        <v>578</v>
      </c>
      <c r="E1168" s="2" t="s">
        <v>112</v>
      </c>
      <c r="F1168" s="66" t="s">
        <v>34</v>
      </c>
      <c r="G1168" s="2" t="s">
        <v>5290</v>
      </c>
      <c r="H1168" s="2" t="s">
        <v>3231</v>
      </c>
      <c r="I1168" s="5"/>
      <c r="J1168" s="5"/>
      <c r="K1168" s="5"/>
      <c r="L1168" s="208">
        <v>83900</v>
      </c>
      <c r="M1168" s="2"/>
      <c r="N1168" s="2" t="s">
        <v>253</v>
      </c>
      <c r="O1168" s="2" t="s">
        <v>5291</v>
      </c>
      <c r="P1168" s="2" t="s">
        <v>4705</v>
      </c>
      <c r="Q1168" s="2"/>
      <c r="R1168" s="2">
        <v>55976</v>
      </c>
      <c r="S1168" s="2">
        <v>43.884346000000001</v>
      </c>
      <c r="T1168" s="2">
        <v>-92.503743999999998</v>
      </c>
      <c r="U1168" s="2"/>
      <c r="V1168" s="2"/>
      <c r="W1168" s="5"/>
      <c r="X1168" s="2"/>
      <c r="Y1168" s="2" t="s">
        <v>442</v>
      </c>
      <c r="Z1168" s="2" t="s">
        <v>875</v>
      </c>
      <c r="AA1168" s="2" t="s">
        <v>44</v>
      </c>
      <c r="AB1168" s="2"/>
      <c r="AC1168" s="2" t="s">
        <v>120</v>
      </c>
      <c r="AD1168" s="2">
        <f t="shared" si="19"/>
        <v>2025</v>
      </c>
      <c r="AE1168" s="2" t="s">
        <v>2319</v>
      </c>
    </row>
    <row r="1169" spans="1:43" s="111" customFormat="1" hidden="1">
      <c r="A1169" s="2" t="s">
        <v>4916</v>
      </c>
      <c r="B1169" s="42">
        <v>45793</v>
      </c>
      <c r="C1169" s="2" t="s">
        <v>5292</v>
      </c>
      <c r="D1169" s="2" t="s">
        <v>5293</v>
      </c>
      <c r="E1169" s="2" t="s">
        <v>182</v>
      </c>
      <c r="F1169" s="66" t="s">
        <v>34</v>
      </c>
      <c r="G1169" s="2" t="s">
        <v>5294</v>
      </c>
      <c r="H1169" s="2" t="s">
        <v>131</v>
      </c>
      <c r="I1169" s="5"/>
      <c r="J1169" s="5"/>
      <c r="K1169" s="5"/>
      <c r="L1169" s="5">
        <v>8400</v>
      </c>
      <c r="M1169" s="2" t="s">
        <v>684</v>
      </c>
      <c r="N1169" s="2" t="s">
        <v>48</v>
      </c>
      <c r="O1169" s="2" t="s">
        <v>5295</v>
      </c>
      <c r="P1169" s="2" t="s">
        <v>5296</v>
      </c>
      <c r="Q1169" s="2" t="s">
        <v>5297</v>
      </c>
      <c r="R1169" s="2">
        <v>56082</v>
      </c>
      <c r="S1169" s="2">
        <v>44.353884999999998</v>
      </c>
      <c r="T1169" s="2">
        <v>-93.971697000000006</v>
      </c>
      <c r="U1169" s="2"/>
      <c r="V1169" s="2"/>
      <c r="W1169" s="5"/>
      <c r="X1169" s="2"/>
      <c r="Y1169" s="2"/>
      <c r="Z1169" s="2"/>
      <c r="AA1169" s="2"/>
      <c r="AB1169" s="2"/>
      <c r="AC1169" s="2" t="s">
        <v>120</v>
      </c>
      <c r="AD1169" s="2">
        <f t="shared" si="19"/>
        <v>2025</v>
      </c>
      <c r="AE1169" s="2" t="s">
        <v>2319</v>
      </c>
    </row>
    <row r="1170" spans="1:43" ht="18" hidden="1">
      <c r="A1170" s="2" t="s">
        <v>4916</v>
      </c>
      <c r="B1170" s="42">
        <v>45799</v>
      </c>
      <c r="C1170" s="2" t="s">
        <v>5298</v>
      </c>
      <c r="D1170" s="2" t="s">
        <v>372</v>
      </c>
      <c r="E1170" s="2" t="s">
        <v>373</v>
      </c>
      <c r="F1170" s="66" t="s">
        <v>34</v>
      </c>
      <c r="G1170" s="2" t="s">
        <v>5299</v>
      </c>
      <c r="H1170" s="2" t="s">
        <v>4519</v>
      </c>
      <c r="K1170" s="5"/>
      <c r="L1170" s="5">
        <v>300000</v>
      </c>
      <c r="N1170" s="2" t="s">
        <v>77</v>
      </c>
      <c r="O1170" s="2" t="s">
        <v>5300</v>
      </c>
      <c r="P1170" s="2" t="s">
        <v>4705</v>
      </c>
      <c r="Q1170" s="197" t="s">
        <v>5301</v>
      </c>
      <c r="R1170" s="2">
        <v>56001</v>
      </c>
      <c r="S1170" s="2">
        <v>44.193548</v>
      </c>
      <c r="T1170" s="2">
        <v>-93.994432000000003</v>
      </c>
      <c r="W1170" s="5"/>
      <c r="AC1170" s="2" t="s">
        <v>120</v>
      </c>
      <c r="AD1170" s="2">
        <f t="shared" si="19"/>
        <v>2025</v>
      </c>
      <c r="AE1170" s="2" t="s">
        <v>2319</v>
      </c>
      <c r="AF1170" s="279"/>
      <c r="AP1170" s="281"/>
      <c r="AQ1170" s="279"/>
    </row>
    <row r="1171" spans="1:43" hidden="1">
      <c r="A1171" s="2" t="s">
        <v>4916</v>
      </c>
      <c r="B1171" s="42">
        <v>45800</v>
      </c>
      <c r="C1171" s="2" t="s">
        <v>5302</v>
      </c>
      <c r="D1171" s="2" t="s">
        <v>3723</v>
      </c>
      <c r="E1171" s="2" t="s">
        <v>99</v>
      </c>
      <c r="F1171" s="66" t="s">
        <v>34</v>
      </c>
      <c r="G1171" s="2" t="s">
        <v>5303</v>
      </c>
      <c r="H1171" s="2" t="s">
        <v>2422</v>
      </c>
      <c r="J1171" s="2"/>
      <c r="L1171" s="2">
        <v>100000</v>
      </c>
      <c r="M1171" s="2" t="s">
        <v>5304</v>
      </c>
      <c r="N1171" s="282" t="s">
        <v>313</v>
      </c>
      <c r="O1171" s="2" t="s">
        <v>5305</v>
      </c>
      <c r="P1171" s="2" t="s">
        <v>4705</v>
      </c>
      <c r="Q1171" s="2" t="s">
        <v>5306</v>
      </c>
      <c r="R1171" s="2">
        <v>55127</v>
      </c>
      <c r="S1171" s="2">
        <v>45.101851000000003</v>
      </c>
      <c r="T1171" s="2">
        <v>-93.053562999999997</v>
      </c>
      <c r="AC1171" s="2" t="s">
        <v>51</v>
      </c>
      <c r="AD1171" s="2">
        <f t="shared" si="19"/>
        <v>2025</v>
      </c>
      <c r="AE1171" s="2" t="s">
        <v>2319</v>
      </c>
      <c r="AF1171" s="273"/>
      <c r="AP1171" s="283"/>
      <c r="AQ1171" s="273"/>
    </row>
    <row r="1172" spans="1:43" hidden="1">
      <c r="A1172" s="2" t="s">
        <v>4916</v>
      </c>
      <c r="B1172" s="42">
        <v>45810</v>
      </c>
      <c r="C1172" s="2" t="s">
        <v>442</v>
      </c>
      <c r="D1172" s="2" t="s">
        <v>3397</v>
      </c>
      <c r="E1172" s="2" t="s">
        <v>4447</v>
      </c>
      <c r="F1172" s="66" t="s">
        <v>34</v>
      </c>
      <c r="G1172" s="2" t="s">
        <v>5307</v>
      </c>
      <c r="H1172" s="2" t="s">
        <v>3231</v>
      </c>
      <c r="L1172" s="5">
        <v>41000</v>
      </c>
      <c r="N1172" s="2" t="s">
        <v>253</v>
      </c>
      <c r="O1172" s="2" t="s">
        <v>5308</v>
      </c>
      <c r="P1172" s="2" t="s">
        <v>5309</v>
      </c>
      <c r="Q1172" s="2" t="s">
        <v>5310</v>
      </c>
      <c r="R1172" s="2">
        <v>55746</v>
      </c>
      <c r="S1172" s="2">
        <v>47.415213999999999</v>
      </c>
      <c r="T1172" s="2">
        <v>-92.934774000000004</v>
      </c>
      <c r="W1172" s="5"/>
      <c r="Y1172" s="2" t="s">
        <v>442</v>
      </c>
      <c r="Z1172" s="2" t="s">
        <v>875</v>
      </c>
      <c r="AA1172" s="2" t="s">
        <v>44</v>
      </c>
      <c r="AC1172" s="2" t="s">
        <v>97</v>
      </c>
      <c r="AD1172" s="2">
        <f t="shared" si="19"/>
        <v>2025</v>
      </c>
      <c r="AE1172" s="2" t="s">
        <v>2319</v>
      </c>
      <c r="AF1172" s="273"/>
      <c r="AP1172" s="284"/>
      <c r="AQ1172" s="273"/>
    </row>
    <row r="1173" spans="1:43" hidden="1">
      <c r="A1173" s="2" t="s">
        <v>4916</v>
      </c>
      <c r="B1173" s="42">
        <v>45820</v>
      </c>
      <c r="C1173" s="2" t="s">
        <v>5311</v>
      </c>
      <c r="D1173" s="2" t="s">
        <v>65</v>
      </c>
      <c r="E1173" s="2" t="s">
        <v>66</v>
      </c>
      <c r="F1173" s="66" t="s">
        <v>34</v>
      </c>
      <c r="G1173" s="2" t="s">
        <v>5312</v>
      </c>
      <c r="H1173" s="2" t="s">
        <v>1359</v>
      </c>
      <c r="K1173" s="5"/>
      <c r="L1173" s="5">
        <v>12500</v>
      </c>
      <c r="M1173" s="2" t="s">
        <v>2521</v>
      </c>
      <c r="N1173" s="2" t="s">
        <v>140</v>
      </c>
      <c r="O1173" s="2" t="s">
        <v>5313</v>
      </c>
      <c r="P1173" s="2" t="s">
        <v>4705</v>
      </c>
      <c r="Q1173" s="2" t="s">
        <v>5314</v>
      </c>
      <c r="R1173" s="2">
        <v>55402</v>
      </c>
      <c r="S1173" s="2">
        <v>44.975909999999999</v>
      </c>
      <c r="T1173" s="2">
        <v>-93.272099999999995</v>
      </c>
      <c r="W1173" s="5"/>
      <c r="Y1173" s="272" t="s">
        <v>5311</v>
      </c>
      <c r="Z1173" s="272" t="s">
        <v>1781</v>
      </c>
      <c r="AA1173" s="272" t="s">
        <v>322</v>
      </c>
      <c r="AC1173" s="2" t="s">
        <v>51</v>
      </c>
      <c r="AD1173" s="2">
        <f t="shared" si="19"/>
        <v>2025</v>
      </c>
      <c r="AE1173" s="2" t="s">
        <v>2319</v>
      </c>
      <c r="AF1173" s="273"/>
      <c r="AP1173" s="283"/>
      <c r="AQ1173" s="273"/>
    </row>
    <row r="1174" spans="1:43" ht="18" hidden="1">
      <c r="A1174" s="2" t="s">
        <v>4916</v>
      </c>
      <c r="B1174" s="42">
        <v>45825</v>
      </c>
      <c r="C1174" s="2" t="s">
        <v>5315</v>
      </c>
      <c r="D1174" s="2" t="s">
        <v>111</v>
      </c>
      <c r="E1174" s="2" t="s">
        <v>112</v>
      </c>
      <c r="F1174" s="66" t="s">
        <v>34</v>
      </c>
      <c r="G1174" s="2" t="s">
        <v>5316</v>
      </c>
      <c r="H1174" s="2" t="s">
        <v>4360</v>
      </c>
      <c r="K1174" s="5"/>
      <c r="L1174" s="5">
        <f>10500+3400</f>
        <v>13900</v>
      </c>
      <c r="M1174" s="2" t="s">
        <v>5317</v>
      </c>
      <c r="N1174" s="2" t="s">
        <v>313</v>
      </c>
      <c r="O1174" s="2" t="s">
        <v>5318</v>
      </c>
      <c r="P1174" s="2" t="s">
        <v>5296</v>
      </c>
      <c r="Q1174" s="197" t="s">
        <v>5319</v>
      </c>
      <c r="R1174" s="2">
        <v>55902</v>
      </c>
      <c r="S1174" s="2">
        <v>43.966921999999997</v>
      </c>
      <c r="T1174" s="2">
        <v>-92.466876999999997</v>
      </c>
      <c r="W1174" s="5"/>
      <c r="AC1174" s="2" t="s">
        <v>120</v>
      </c>
      <c r="AD1174" s="2">
        <f t="shared" si="19"/>
        <v>2025</v>
      </c>
      <c r="AE1174" s="2" t="s">
        <v>2319</v>
      </c>
      <c r="AF1174" s="273"/>
      <c r="AP1174" s="283"/>
      <c r="AQ1174" s="273"/>
    </row>
    <row r="1175" spans="1:43" hidden="1">
      <c r="A1175" s="2" t="s">
        <v>4916</v>
      </c>
      <c r="B1175" s="42">
        <v>45838</v>
      </c>
      <c r="C1175" s="2" t="s">
        <v>5320</v>
      </c>
      <c r="D1175" s="2" t="s">
        <v>591</v>
      </c>
      <c r="E1175" s="2" t="s">
        <v>66</v>
      </c>
      <c r="F1175" s="66" t="s">
        <v>34</v>
      </c>
      <c r="G1175" s="2" t="s">
        <v>5321</v>
      </c>
      <c r="H1175" s="2" t="s">
        <v>2079</v>
      </c>
      <c r="K1175" s="5">
        <v>200</v>
      </c>
      <c r="M1175" s="2" t="s">
        <v>2754</v>
      </c>
      <c r="N1175" s="2" t="s">
        <v>48</v>
      </c>
      <c r="O1175" s="2" t="s">
        <v>5322</v>
      </c>
      <c r="P1175" s="2" t="s">
        <v>4730</v>
      </c>
      <c r="R1175" s="2">
        <v>55345</v>
      </c>
      <c r="S1175" s="2">
        <v>44.916963000000003</v>
      </c>
      <c r="T1175" s="2">
        <v>-93.481748999999994</v>
      </c>
      <c r="W1175" s="5"/>
      <c r="AC1175" s="2" t="s">
        <v>51</v>
      </c>
      <c r="AD1175" s="2">
        <f t="shared" si="19"/>
        <v>2025</v>
      </c>
      <c r="AE1175" s="2" t="s">
        <v>2319</v>
      </c>
      <c r="AF1175" s="273"/>
      <c r="AP1175" s="283"/>
      <c r="AQ1175" s="273"/>
    </row>
    <row r="1176" spans="1:43" hidden="1">
      <c r="A1176" s="111" t="s">
        <v>4955</v>
      </c>
      <c r="B1176" s="112">
        <v>45854</v>
      </c>
      <c r="C1176" s="111" t="s">
        <v>5323</v>
      </c>
      <c r="D1176" s="111" t="s">
        <v>340</v>
      </c>
      <c r="E1176" s="111" t="s">
        <v>66</v>
      </c>
      <c r="F1176" s="111" t="s">
        <v>34</v>
      </c>
      <c r="G1176" s="111" t="s">
        <v>5324</v>
      </c>
      <c r="H1176" s="111" t="s">
        <v>5325</v>
      </c>
      <c r="I1176" s="80"/>
      <c r="J1176" s="80"/>
      <c r="K1176" s="80"/>
      <c r="L1176" s="80">
        <v>90000</v>
      </c>
      <c r="M1176" s="111"/>
      <c r="N1176" s="111" t="s">
        <v>384</v>
      </c>
      <c r="O1176" s="111" t="s">
        <v>5326</v>
      </c>
      <c r="P1176" s="111" t="s">
        <v>647</v>
      </c>
      <c r="Q1176" s="111" t="s">
        <v>5327</v>
      </c>
      <c r="R1176" s="111">
        <v>55441</v>
      </c>
      <c r="S1176" s="111">
        <v>44.997444999999999</v>
      </c>
      <c r="T1176" s="111">
        <v>-93.445288000000005</v>
      </c>
      <c r="U1176" s="111"/>
      <c r="V1176" s="111"/>
      <c r="W1176" s="80"/>
      <c r="X1176" s="111"/>
      <c r="Y1176" s="111"/>
      <c r="Z1176" s="111"/>
      <c r="AA1176" s="111"/>
      <c r="AB1176" s="111"/>
      <c r="AC1176" s="111" t="s">
        <v>51</v>
      </c>
      <c r="AD1176" s="111">
        <v>2025</v>
      </c>
      <c r="AE1176" s="111"/>
      <c r="AF1176" s="273"/>
      <c r="AP1176" s="283"/>
      <c r="AQ1176" s="273"/>
    </row>
    <row r="1177" spans="1:43" hidden="1">
      <c r="A1177" s="111" t="s">
        <v>4955</v>
      </c>
      <c r="B1177" s="112">
        <v>45855</v>
      </c>
      <c r="C1177" s="111" t="s">
        <v>5328</v>
      </c>
      <c r="D1177" s="111" t="s">
        <v>90</v>
      </c>
      <c r="E1177" s="111" t="s">
        <v>4447</v>
      </c>
      <c r="F1177" s="111" t="s">
        <v>34</v>
      </c>
      <c r="G1177" s="111" t="s">
        <v>5329</v>
      </c>
      <c r="H1177" s="111" t="s">
        <v>2079</v>
      </c>
      <c r="I1177" s="80"/>
      <c r="J1177" s="80"/>
      <c r="K1177" s="80"/>
      <c r="L1177" s="80">
        <v>22000</v>
      </c>
      <c r="M1177" s="111" t="s">
        <v>3487</v>
      </c>
      <c r="N1177" s="111" t="s">
        <v>4703</v>
      </c>
      <c r="O1177" s="111" t="s">
        <v>5330</v>
      </c>
      <c r="P1177" s="111" t="s">
        <v>5331</v>
      </c>
      <c r="Q1177" s="111" t="s">
        <v>5332</v>
      </c>
      <c r="R1177" s="111">
        <v>55811</v>
      </c>
      <c r="S1177" s="111">
        <v>46.833900999999997</v>
      </c>
      <c r="T1177" s="111">
        <v>-92.169833999999994</v>
      </c>
      <c r="U1177" s="111"/>
      <c r="V1177" s="111"/>
      <c r="W1177" s="80"/>
      <c r="X1177" s="111"/>
      <c r="Y1177" s="111"/>
      <c r="Z1177" s="111"/>
      <c r="AA1177" s="111"/>
      <c r="AB1177" s="111"/>
      <c r="AC1177" s="111" t="s">
        <v>97</v>
      </c>
      <c r="AD1177" s="111">
        <v>2025</v>
      </c>
      <c r="AE1177" s="111"/>
      <c r="AF1177" s="273"/>
      <c r="AP1177" s="283"/>
      <c r="AQ1177" s="273"/>
    </row>
    <row r="1178" spans="1:43" hidden="1">
      <c r="A1178" s="111" t="s">
        <v>4955</v>
      </c>
      <c r="B1178" s="112">
        <v>45866</v>
      </c>
      <c r="C1178" s="111" t="s">
        <v>5333</v>
      </c>
      <c r="D1178" s="111" t="s">
        <v>203</v>
      </c>
      <c r="E1178" s="111" t="s">
        <v>74</v>
      </c>
      <c r="F1178" s="111" t="s">
        <v>34</v>
      </c>
      <c r="G1178" s="111" t="s">
        <v>5334</v>
      </c>
      <c r="H1178" s="111" t="s">
        <v>2834</v>
      </c>
      <c r="I1178" s="80"/>
      <c r="J1178" s="80"/>
      <c r="K1178" s="80"/>
      <c r="L1178" s="115">
        <v>48563</v>
      </c>
      <c r="M1178" s="111" t="s">
        <v>3742</v>
      </c>
      <c r="N1178" s="111" t="s">
        <v>48</v>
      </c>
      <c r="O1178" s="111" t="s">
        <v>5335</v>
      </c>
      <c r="P1178" s="111" t="s">
        <v>4705</v>
      </c>
      <c r="Q1178" s="111" t="s">
        <v>5336</v>
      </c>
      <c r="R1178" s="111">
        <v>55121</v>
      </c>
      <c r="S1178" s="111">
        <v>44.856425999999999</v>
      </c>
      <c r="T1178" s="111">
        <v>-93.135559000000001</v>
      </c>
      <c r="U1178" s="111"/>
      <c r="V1178" s="111"/>
      <c r="W1178" s="80"/>
      <c r="X1178" s="111" t="s">
        <v>2319</v>
      </c>
      <c r="Y1178" s="111" t="s">
        <v>5337</v>
      </c>
      <c r="Z1178" s="111"/>
      <c r="AA1178" s="111"/>
      <c r="AB1178" s="111" t="s">
        <v>370</v>
      </c>
      <c r="AC1178" s="111" t="s">
        <v>51</v>
      </c>
      <c r="AD1178" s="111">
        <v>2025</v>
      </c>
      <c r="AE1178" s="111"/>
      <c r="AF1178" s="273"/>
      <c r="AP1178" s="283"/>
      <c r="AQ1178" s="273"/>
    </row>
    <row r="1179" spans="1:43" ht="15.75" hidden="1">
      <c r="A1179" s="111" t="s">
        <v>4955</v>
      </c>
      <c r="B1179" s="112">
        <v>45873</v>
      </c>
      <c r="C1179" s="111" t="s">
        <v>5338</v>
      </c>
      <c r="D1179" s="111" t="s">
        <v>5210</v>
      </c>
      <c r="E1179" s="111" t="s">
        <v>4294</v>
      </c>
      <c r="F1179" s="111" t="s">
        <v>34</v>
      </c>
      <c r="G1179" s="111" t="s">
        <v>5339</v>
      </c>
      <c r="H1179" s="111" t="s">
        <v>131</v>
      </c>
      <c r="I1179" s="80"/>
      <c r="J1179" s="111"/>
      <c r="K1179" s="111"/>
      <c r="L1179" s="80">
        <v>30000</v>
      </c>
      <c r="M1179" s="111" t="s">
        <v>2754</v>
      </c>
      <c r="N1179" s="111" t="s">
        <v>48</v>
      </c>
      <c r="O1179" s="111" t="s">
        <v>5340</v>
      </c>
      <c r="P1179" s="111" t="s">
        <v>5341</v>
      </c>
      <c r="Q1179" s="209" t="s">
        <v>5342</v>
      </c>
      <c r="R1179" s="111">
        <v>55921</v>
      </c>
      <c r="S1179" s="111">
        <v>43.625745000000002</v>
      </c>
      <c r="T1179" s="111">
        <v>-91.503474999999995</v>
      </c>
      <c r="U1179" s="111" t="s">
        <v>378</v>
      </c>
      <c r="V1179" s="111" t="s">
        <v>5343</v>
      </c>
      <c r="W1179" s="80">
        <v>1572500</v>
      </c>
      <c r="X1179" s="111"/>
      <c r="Y1179" s="80"/>
      <c r="Z1179" s="80"/>
      <c r="AA1179" s="111"/>
      <c r="AB1179" s="80"/>
      <c r="AC1179" s="111" t="s">
        <v>120</v>
      </c>
      <c r="AD1179" s="111">
        <v>2025</v>
      </c>
      <c r="AE1179" s="111"/>
      <c r="AF1179" s="273"/>
      <c r="AP1179" s="283"/>
      <c r="AQ1179" s="273"/>
    </row>
    <row r="1180" spans="1:43" hidden="1">
      <c r="A1180" s="111" t="s">
        <v>4955</v>
      </c>
      <c r="B1180" s="112">
        <v>45875</v>
      </c>
      <c r="C1180" s="111" t="s">
        <v>5344</v>
      </c>
      <c r="D1180" s="111" t="s">
        <v>165</v>
      </c>
      <c r="E1180" s="111" t="s">
        <v>66</v>
      </c>
      <c r="F1180" s="111" t="s">
        <v>34</v>
      </c>
      <c r="G1180" s="111" t="s">
        <v>5345</v>
      </c>
      <c r="H1180" s="111" t="s">
        <v>131</v>
      </c>
      <c r="I1180" s="80"/>
      <c r="J1180" s="80"/>
      <c r="K1180" s="80"/>
      <c r="L1180" s="80">
        <v>100000</v>
      </c>
      <c r="M1180" s="111" t="s">
        <v>167</v>
      </c>
      <c r="N1180" s="111" t="s">
        <v>48</v>
      </c>
      <c r="O1180" s="111" t="s">
        <v>5346</v>
      </c>
      <c r="P1180" s="111"/>
      <c r="Q1180" s="111" t="s">
        <v>5347</v>
      </c>
      <c r="R1180" s="111">
        <v>55369</v>
      </c>
      <c r="S1180" s="111">
        <v>45.075557000000003</v>
      </c>
      <c r="T1180" s="111">
        <v>-93.443561000000003</v>
      </c>
      <c r="U1180" s="111"/>
      <c r="V1180" s="111"/>
      <c r="W1180" s="80"/>
      <c r="X1180" s="111"/>
      <c r="Y1180" s="111" t="s">
        <v>5344</v>
      </c>
      <c r="Z1180" s="111"/>
      <c r="AA1180" s="111"/>
      <c r="AB1180" s="111" t="s">
        <v>5348</v>
      </c>
      <c r="AC1180" s="111" t="s">
        <v>51</v>
      </c>
      <c r="AD1180" s="111">
        <v>2025</v>
      </c>
      <c r="AE1180" s="111"/>
      <c r="AF1180" s="273"/>
      <c r="AP1180" s="283"/>
      <c r="AQ1180" s="273"/>
    </row>
    <row r="1181" spans="1:43" hidden="1">
      <c r="A1181" s="111" t="s">
        <v>4955</v>
      </c>
      <c r="B1181" s="112">
        <v>45880</v>
      </c>
      <c r="C1181" s="111" t="s">
        <v>5349</v>
      </c>
      <c r="D1181" s="111" t="s">
        <v>1051</v>
      </c>
      <c r="E1181" s="111" t="s">
        <v>66</v>
      </c>
      <c r="F1181" s="111" t="s">
        <v>34</v>
      </c>
      <c r="G1181" s="111" t="s">
        <v>5350</v>
      </c>
      <c r="H1181" s="111" t="s">
        <v>131</v>
      </c>
      <c r="I1181" s="80"/>
      <c r="J1181" s="80"/>
      <c r="K1181" s="80"/>
      <c r="L1181" s="80">
        <v>503440</v>
      </c>
      <c r="M1181" s="111" t="s">
        <v>93</v>
      </c>
      <c r="N1181" s="111" t="s">
        <v>48</v>
      </c>
      <c r="O1181" s="111" t="s">
        <v>5351</v>
      </c>
      <c r="P1181" s="111" t="s">
        <v>4705</v>
      </c>
      <c r="Q1181" s="111" t="s">
        <v>5352</v>
      </c>
      <c r="R1181" s="111">
        <v>55369</v>
      </c>
      <c r="S1181" s="111">
        <v>45.164065999999998</v>
      </c>
      <c r="T1181" s="111">
        <v>-93.504248000000004</v>
      </c>
      <c r="U1181" s="111"/>
      <c r="V1181" s="111"/>
      <c r="W1181" s="80"/>
      <c r="X1181" s="111"/>
      <c r="Y1181" s="111"/>
      <c r="Z1181" s="111"/>
      <c r="AA1181" s="111"/>
      <c r="AB1181" s="111"/>
      <c r="AC1181" s="111" t="s">
        <v>51</v>
      </c>
      <c r="AD1181" s="111">
        <v>2025</v>
      </c>
      <c r="AE1181" s="111"/>
      <c r="AF1181" s="273"/>
      <c r="AP1181" s="283"/>
      <c r="AQ1181" s="273"/>
    </row>
    <row r="1182" spans="1:43" hidden="1">
      <c r="A1182" s="111" t="s">
        <v>4955</v>
      </c>
      <c r="B1182" s="112">
        <v>45880</v>
      </c>
      <c r="C1182" s="111" t="s">
        <v>5353</v>
      </c>
      <c r="D1182" s="111" t="s">
        <v>2594</v>
      </c>
      <c r="E1182" s="111" t="s">
        <v>572</v>
      </c>
      <c r="F1182" s="111" t="s">
        <v>34</v>
      </c>
      <c r="G1182" s="111" t="s">
        <v>5354</v>
      </c>
      <c r="H1182" s="111" t="s">
        <v>3819</v>
      </c>
      <c r="I1182" s="80"/>
      <c r="J1182" s="80"/>
      <c r="K1182" s="80"/>
      <c r="L1182" s="80">
        <v>45000</v>
      </c>
      <c r="M1182" s="111" t="s">
        <v>167</v>
      </c>
      <c r="N1182" s="111" t="s">
        <v>48</v>
      </c>
      <c r="O1182" s="111" t="s">
        <v>5355</v>
      </c>
      <c r="P1182" s="111"/>
      <c r="Q1182" s="111" t="s">
        <v>2598</v>
      </c>
      <c r="R1182" s="111">
        <v>55328</v>
      </c>
      <c r="S1182" s="111">
        <v>45.029739999999997</v>
      </c>
      <c r="T1182" s="111">
        <v>-93.781066999999993</v>
      </c>
      <c r="U1182" s="111"/>
      <c r="V1182" s="111"/>
      <c r="W1182" s="80"/>
      <c r="X1182" s="2" t="s">
        <v>4938</v>
      </c>
      <c r="Y1182" s="285" t="s">
        <v>5356</v>
      </c>
      <c r="Z1182" s="285" t="s">
        <v>5357</v>
      </c>
      <c r="AA1182" s="285"/>
      <c r="AB1182" s="285" t="s">
        <v>2600</v>
      </c>
      <c r="AC1182" s="111" t="s">
        <v>41</v>
      </c>
      <c r="AD1182" s="111">
        <v>2025</v>
      </c>
      <c r="AE1182" s="111"/>
      <c r="AF1182" s="273"/>
      <c r="AP1182" s="283"/>
      <c r="AQ1182" s="273"/>
    </row>
    <row r="1183" spans="1:43" hidden="1">
      <c r="A1183" s="111" t="s">
        <v>4955</v>
      </c>
      <c r="B1183" s="112">
        <v>45881</v>
      </c>
      <c r="C1183" s="111" t="s">
        <v>5358</v>
      </c>
      <c r="D1183" s="111" t="s">
        <v>203</v>
      </c>
      <c r="E1183" s="111" t="s">
        <v>74</v>
      </c>
      <c r="F1183" s="111" t="s">
        <v>34</v>
      </c>
      <c r="G1183" s="111" t="s">
        <v>5359</v>
      </c>
      <c r="H1183" s="111" t="s">
        <v>2708</v>
      </c>
      <c r="I1183" s="80"/>
      <c r="J1183" s="80"/>
      <c r="K1183" s="80"/>
      <c r="L1183" s="80">
        <v>150000</v>
      </c>
      <c r="M1183" s="111" t="s">
        <v>4835</v>
      </c>
      <c r="N1183" s="111" t="s">
        <v>300</v>
      </c>
      <c r="O1183" s="111" t="s">
        <v>5360</v>
      </c>
      <c r="P1183" s="111" t="s">
        <v>4705</v>
      </c>
      <c r="Q1183" s="111" t="s">
        <v>5361</v>
      </c>
      <c r="R1183" s="111">
        <v>55123</v>
      </c>
      <c r="S1183" s="111">
        <v>44.828963999999999</v>
      </c>
      <c r="T1183" s="111">
        <v>-93.117845000000003</v>
      </c>
      <c r="U1183" s="111"/>
      <c r="V1183" s="111"/>
      <c r="W1183" s="80"/>
      <c r="X1183" s="111"/>
      <c r="Y1183" s="272" t="s">
        <v>5358</v>
      </c>
      <c r="Z1183" s="272" t="s">
        <v>5362</v>
      </c>
      <c r="AA1183" s="272" t="s">
        <v>2708</v>
      </c>
      <c r="AB1183" s="111"/>
      <c r="AC1183" s="111" t="s">
        <v>51</v>
      </c>
      <c r="AD1183" s="111">
        <v>2025</v>
      </c>
      <c r="AE1183" s="111"/>
      <c r="AF1183" s="273"/>
      <c r="AP1183" s="283"/>
      <c r="AQ1183" s="273"/>
    </row>
    <row r="1184" spans="1:43" hidden="1">
      <c r="A1184" s="111" t="s">
        <v>4955</v>
      </c>
      <c r="B1184" s="112">
        <v>45888</v>
      </c>
      <c r="C1184" s="111" t="s">
        <v>5363</v>
      </c>
      <c r="D1184" s="111" t="s">
        <v>2556</v>
      </c>
      <c r="E1184" s="111" t="s">
        <v>66</v>
      </c>
      <c r="F1184" s="111" t="s">
        <v>34</v>
      </c>
      <c r="G1184" s="111" t="s">
        <v>5364</v>
      </c>
      <c r="H1184" s="111" t="s">
        <v>5365</v>
      </c>
      <c r="I1184" s="80"/>
      <c r="J1184" s="80"/>
      <c r="K1184" s="80"/>
      <c r="L1184" s="80">
        <v>2500</v>
      </c>
      <c r="M1184" s="111"/>
      <c r="N1184" s="111" t="s">
        <v>313</v>
      </c>
      <c r="O1184" s="111" t="s">
        <v>5366</v>
      </c>
      <c r="P1184" s="111" t="s">
        <v>4705</v>
      </c>
      <c r="Q1184" s="111" t="s">
        <v>5367</v>
      </c>
      <c r="R1184" s="111">
        <v>55426</v>
      </c>
      <c r="S1184" s="111">
        <v>44.936880000000002</v>
      </c>
      <c r="T1184" s="111">
        <v>-93.365470999999999</v>
      </c>
      <c r="U1184" s="111"/>
      <c r="V1184" s="111"/>
      <c r="W1184" s="80"/>
      <c r="X1184" s="111"/>
      <c r="Y1184" s="111" t="s">
        <v>5363</v>
      </c>
      <c r="Z1184" s="111" t="s">
        <v>5368</v>
      </c>
      <c r="AA1184" s="111" t="s">
        <v>322</v>
      </c>
      <c r="AB1184" s="111"/>
      <c r="AC1184" s="111" t="s">
        <v>51</v>
      </c>
      <c r="AD1184" s="111">
        <v>2025</v>
      </c>
      <c r="AE1184" s="111"/>
      <c r="AF1184" s="273"/>
      <c r="AP1184" s="283"/>
      <c r="AQ1184" s="273"/>
    </row>
    <row r="1185" spans="1:43" hidden="1">
      <c r="A1185" s="111" t="s">
        <v>4955</v>
      </c>
      <c r="B1185" s="112">
        <v>45896</v>
      </c>
      <c r="C1185" s="111" t="s">
        <v>5369</v>
      </c>
      <c r="D1185" s="111" t="s">
        <v>473</v>
      </c>
      <c r="E1185" s="111" t="s">
        <v>474</v>
      </c>
      <c r="F1185" s="111" t="s">
        <v>34</v>
      </c>
      <c r="G1185" s="111" t="s">
        <v>5370</v>
      </c>
      <c r="H1185" s="111" t="s">
        <v>131</v>
      </c>
      <c r="I1185" s="80"/>
      <c r="J1185" s="80"/>
      <c r="K1185" s="80"/>
      <c r="L1185" s="80"/>
      <c r="M1185" s="111" t="s">
        <v>5371</v>
      </c>
      <c r="N1185" s="2" t="s">
        <v>1462</v>
      </c>
      <c r="O1185" s="111" t="s">
        <v>5372</v>
      </c>
      <c r="P1185" s="111"/>
      <c r="Q1185" s="111"/>
      <c r="R1185" s="111">
        <v>55355</v>
      </c>
      <c r="S1185" s="111">
        <v>45.122737000000001</v>
      </c>
      <c r="T1185" s="111">
        <v>-94.529860999999997</v>
      </c>
      <c r="U1185" s="111"/>
      <c r="V1185" s="111"/>
      <c r="W1185" s="80"/>
      <c r="X1185" s="111"/>
      <c r="Y1185" s="111" t="s">
        <v>5369</v>
      </c>
      <c r="Z1185" s="111"/>
      <c r="AA1185" s="111" t="s">
        <v>5373</v>
      </c>
      <c r="AB1185" s="111"/>
      <c r="AC1185" s="111" t="s">
        <v>41</v>
      </c>
      <c r="AD1185" s="111">
        <v>2025</v>
      </c>
      <c r="AE1185" s="111"/>
      <c r="AF1185" s="273"/>
      <c r="AP1185" s="283"/>
      <c r="AQ1185" s="273"/>
    </row>
    <row r="1186" spans="1:43" hidden="1">
      <c r="A1186" s="111" t="s">
        <v>4955</v>
      </c>
      <c r="B1186" s="112">
        <v>45910</v>
      </c>
      <c r="C1186" s="111" t="s">
        <v>5374</v>
      </c>
      <c r="D1186" s="111" t="s">
        <v>467</v>
      </c>
      <c r="E1186" s="111" t="s">
        <v>468</v>
      </c>
      <c r="F1186" s="111" t="s">
        <v>34</v>
      </c>
      <c r="G1186" s="111" t="s">
        <v>5375</v>
      </c>
      <c r="H1186" s="111" t="s">
        <v>2708</v>
      </c>
      <c r="I1186" s="80"/>
      <c r="J1186" s="80"/>
      <c r="K1186" s="80"/>
      <c r="L1186" s="80">
        <v>500000</v>
      </c>
      <c r="M1186" s="111" t="s">
        <v>4835</v>
      </c>
      <c r="N1186" s="111" t="s">
        <v>300</v>
      </c>
      <c r="O1186" s="111" t="s">
        <v>5376</v>
      </c>
      <c r="P1186" s="111" t="s">
        <v>647</v>
      </c>
      <c r="Q1186" s="111" t="s">
        <v>4887</v>
      </c>
      <c r="R1186" s="111">
        <v>55021</v>
      </c>
      <c r="S1186" s="111">
        <v>44.365589999999997</v>
      </c>
      <c r="T1186" s="111">
        <v>-93.286861000000002</v>
      </c>
      <c r="U1186" s="111"/>
      <c r="V1186" s="111"/>
      <c r="W1186" s="80"/>
      <c r="X1186" s="111"/>
      <c r="Y1186" s="272" t="s">
        <v>5374</v>
      </c>
      <c r="Z1186" s="272"/>
      <c r="AA1186" s="272" t="s">
        <v>774</v>
      </c>
      <c r="AB1186" s="111"/>
      <c r="AC1186" s="111" t="s">
        <v>120</v>
      </c>
      <c r="AD1186" s="111">
        <v>2025</v>
      </c>
      <c r="AE1186" s="111"/>
      <c r="AF1186" s="273"/>
      <c r="AP1186" s="283"/>
      <c r="AQ1186" s="273"/>
    </row>
    <row r="1187" spans="1:43" hidden="1">
      <c r="A1187" s="111" t="s">
        <v>4955</v>
      </c>
      <c r="B1187" s="112">
        <v>45917</v>
      </c>
      <c r="C1187" s="111" t="s">
        <v>5377</v>
      </c>
      <c r="D1187" s="111" t="s">
        <v>65</v>
      </c>
      <c r="E1187" s="111" t="s">
        <v>66</v>
      </c>
      <c r="F1187" s="111" t="s">
        <v>34</v>
      </c>
      <c r="G1187" s="111" t="s">
        <v>5378</v>
      </c>
      <c r="H1187" s="111" t="s">
        <v>3231</v>
      </c>
      <c r="I1187" s="80"/>
      <c r="J1187" s="111"/>
      <c r="K1187" s="111"/>
      <c r="L1187" s="80">
        <v>61610</v>
      </c>
      <c r="M1187" s="111" t="s">
        <v>2754</v>
      </c>
      <c r="N1187" s="111" t="s">
        <v>48</v>
      </c>
      <c r="O1187" s="111" t="s">
        <v>5379</v>
      </c>
      <c r="P1187" s="111" t="s">
        <v>4705</v>
      </c>
      <c r="Q1187" s="111" t="s">
        <v>5380</v>
      </c>
      <c r="R1187" s="111">
        <v>55411</v>
      </c>
      <c r="S1187" s="111">
        <v>45.011637</v>
      </c>
      <c r="T1187" s="111">
        <v>-93.276315999999994</v>
      </c>
      <c r="U1187" s="111"/>
      <c r="V1187" s="111"/>
      <c r="W1187" s="111"/>
      <c r="X1187" s="111"/>
      <c r="Y1187" s="111"/>
      <c r="Z1187" s="111"/>
      <c r="AA1187" s="111"/>
      <c r="AB1187" s="111"/>
      <c r="AC1187" s="111" t="s">
        <v>51</v>
      </c>
      <c r="AD1187" s="111">
        <v>2025</v>
      </c>
      <c r="AE1187" s="111"/>
      <c r="AF1187" s="273"/>
      <c r="AP1187" s="283"/>
      <c r="AQ1187" s="273"/>
    </row>
    <row r="1188" spans="1:43" hidden="1">
      <c r="A1188" s="238" t="s">
        <v>4933</v>
      </c>
      <c r="B1188" s="239">
        <v>45933</v>
      </c>
      <c r="C1188" s="238" t="s">
        <v>5381</v>
      </c>
      <c r="D1188" s="238" t="s">
        <v>65</v>
      </c>
      <c r="E1188" s="238" t="s">
        <v>66</v>
      </c>
      <c r="F1188" s="238" t="s">
        <v>34</v>
      </c>
      <c r="G1188" s="238" t="s">
        <v>5382</v>
      </c>
      <c r="H1188" s="238" t="s">
        <v>2079</v>
      </c>
      <c r="I1188" s="244"/>
      <c r="J1188" s="241"/>
      <c r="K1188" s="241"/>
      <c r="L1188" s="241">
        <v>50000</v>
      </c>
      <c r="M1188" s="238" t="s">
        <v>4702</v>
      </c>
      <c r="N1188" s="238" t="s">
        <v>4703</v>
      </c>
      <c r="O1188" s="238" t="s">
        <v>5383</v>
      </c>
      <c r="P1188" s="238" t="s">
        <v>4705</v>
      </c>
      <c r="Q1188" s="238" t="s">
        <v>5384</v>
      </c>
      <c r="R1188" s="238">
        <v>55401</v>
      </c>
      <c r="S1188" s="238">
        <v>44.983995</v>
      </c>
      <c r="T1188" s="238">
        <v>-93.273785000000004</v>
      </c>
      <c r="U1188" s="238"/>
      <c r="V1188" s="238"/>
      <c r="W1188" s="244"/>
      <c r="X1188" s="238"/>
      <c r="Y1188" s="241" t="s">
        <v>5381</v>
      </c>
      <c r="Z1188" s="241" t="s">
        <v>773</v>
      </c>
      <c r="AA1188" s="241" t="s">
        <v>773</v>
      </c>
      <c r="AB1188" s="241"/>
      <c r="AC1188" s="238" t="s">
        <v>51</v>
      </c>
      <c r="AD1188" s="250">
        <v>2025</v>
      </c>
      <c r="AE1188" s="238"/>
      <c r="AF1188" s="238"/>
      <c r="AP1188" s="239"/>
      <c r="AQ1188" s="238"/>
    </row>
    <row r="1189" spans="1:43" hidden="1">
      <c r="A1189" s="238" t="s">
        <v>4933</v>
      </c>
      <c r="B1189" s="239">
        <v>45939</v>
      </c>
      <c r="C1189" s="238" t="s">
        <v>5385</v>
      </c>
      <c r="D1189" s="238" t="s">
        <v>515</v>
      </c>
      <c r="E1189" s="238" t="s">
        <v>515</v>
      </c>
      <c r="F1189" s="238" t="s">
        <v>34</v>
      </c>
      <c r="G1189" s="238" t="s">
        <v>5386</v>
      </c>
      <c r="H1189" s="238" t="s">
        <v>4197</v>
      </c>
      <c r="I1189" s="244"/>
      <c r="J1189" s="241"/>
      <c r="K1189" s="241"/>
      <c r="L1189" s="241">
        <v>25000</v>
      </c>
      <c r="M1189" s="238" t="s">
        <v>93</v>
      </c>
      <c r="N1189" s="238" t="s">
        <v>48</v>
      </c>
      <c r="O1189" s="238" t="s">
        <v>5387</v>
      </c>
      <c r="P1189" s="238" t="s">
        <v>2597</v>
      </c>
      <c r="Q1189" s="238" t="s">
        <v>5388</v>
      </c>
      <c r="R1189" s="238">
        <v>55987</v>
      </c>
      <c r="S1189" s="238">
        <v>44.031494000000002</v>
      </c>
      <c r="T1189" s="238">
        <v>-91.611677</v>
      </c>
      <c r="U1189" s="238"/>
      <c r="V1189" s="238"/>
      <c r="W1189" s="244"/>
      <c r="X1189" s="238"/>
      <c r="Y1189" s="238"/>
      <c r="Z1189" s="238"/>
      <c r="AA1189" s="238"/>
      <c r="AB1189" s="238"/>
      <c r="AC1189" s="238" t="s">
        <v>120</v>
      </c>
      <c r="AD1189" s="250">
        <v>2025</v>
      </c>
      <c r="AE1189" s="238"/>
      <c r="AF1189" s="238"/>
      <c r="AP1189" s="239"/>
      <c r="AQ1189" s="238"/>
    </row>
    <row r="1190" spans="1:43" hidden="1">
      <c r="A1190" s="238" t="s">
        <v>4933</v>
      </c>
      <c r="B1190" s="239">
        <v>45944</v>
      </c>
      <c r="C1190" s="238" t="s">
        <v>5389</v>
      </c>
      <c r="D1190" s="238" t="s">
        <v>203</v>
      </c>
      <c r="E1190" s="238" t="s">
        <v>74</v>
      </c>
      <c r="F1190" s="238" t="s">
        <v>34</v>
      </c>
      <c r="G1190" s="238" t="s">
        <v>5390</v>
      </c>
      <c r="H1190" s="238" t="s">
        <v>3231</v>
      </c>
      <c r="I1190" s="244"/>
      <c r="J1190" s="241"/>
      <c r="K1190" s="241"/>
      <c r="L1190" s="241">
        <v>100000</v>
      </c>
      <c r="M1190" s="238"/>
      <c r="N1190" s="238" t="s">
        <v>77</v>
      </c>
      <c r="O1190" s="238" t="s">
        <v>5391</v>
      </c>
      <c r="P1190" s="238" t="s">
        <v>4705</v>
      </c>
      <c r="Q1190" s="238" t="s">
        <v>5392</v>
      </c>
      <c r="R1190" s="238">
        <v>55121</v>
      </c>
      <c r="S1190" s="238">
        <v>44.848806000000003</v>
      </c>
      <c r="T1190" s="238">
        <v>-93.130172000000002</v>
      </c>
      <c r="U1190" s="238"/>
      <c r="V1190" s="238"/>
      <c r="W1190" s="244"/>
      <c r="X1190" s="238"/>
      <c r="Y1190" s="230" t="s">
        <v>5389</v>
      </c>
      <c r="Z1190" s="240" t="s">
        <v>5393</v>
      </c>
      <c r="AA1190" s="230" t="s">
        <v>261</v>
      </c>
      <c r="AB1190" s="241"/>
      <c r="AC1190" s="238" t="s">
        <v>51</v>
      </c>
      <c r="AD1190" s="250">
        <v>2025</v>
      </c>
      <c r="AE1190" s="238"/>
      <c r="AF1190" s="238"/>
      <c r="AP1190" s="239"/>
      <c r="AQ1190" s="238"/>
    </row>
    <row r="1191" spans="1:43" hidden="1">
      <c r="A1191" s="238" t="s">
        <v>4933</v>
      </c>
      <c r="B1191" s="239">
        <v>45945</v>
      </c>
      <c r="C1191" s="238" t="s">
        <v>5394</v>
      </c>
      <c r="D1191" s="238" t="s">
        <v>3243</v>
      </c>
      <c r="E1191" s="238" t="s">
        <v>74</v>
      </c>
      <c r="F1191" s="238" t="s">
        <v>34</v>
      </c>
      <c r="G1191" s="238" t="s">
        <v>5395</v>
      </c>
      <c r="H1191" s="238" t="s">
        <v>131</v>
      </c>
      <c r="I1191" s="244"/>
      <c r="J1191" s="241"/>
      <c r="K1191" s="241"/>
      <c r="L1191" s="241"/>
      <c r="M1191" s="238" t="s">
        <v>2826</v>
      </c>
      <c r="N1191" s="238" t="s">
        <v>48</v>
      </c>
      <c r="O1191" s="238" t="s">
        <v>5396</v>
      </c>
      <c r="P1191" s="238" t="s">
        <v>2597</v>
      </c>
      <c r="Q1191" s="238" t="s">
        <v>3258</v>
      </c>
      <c r="R1191" s="238">
        <v>55068</v>
      </c>
      <c r="S1191" s="238">
        <v>44.757466000000001</v>
      </c>
      <c r="T1191" s="238">
        <v>-93.010676000000004</v>
      </c>
      <c r="U1191" s="238"/>
      <c r="V1191" s="238"/>
      <c r="W1191" s="244"/>
      <c r="X1191" s="2" t="s">
        <v>4938</v>
      </c>
      <c r="Y1191" s="240" t="s">
        <v>4131</v>
      </c>
      <c r="Z1191" s="241"/>
      <c r="AA1191" s="238"/>
      <c r="AB1191" s="241" t="s">
        <v>4132</v>
      </c>
      <c r="AC1191" s="238" t="s">
        <v>51</v>
      </c>
      <c r="AD1191" s="250">
        <v>2025</v>
      </c>
      <c r="AE1191" s="238"/>
      <c r="AF1191" s="238"/>
      <c r="AP1191" s="239"/>
      <c r="AQ1191" s="238"/>
    </row>
    <row r="1192" spans="1:43" hidden="1">
      <c r="A1192" s="238" t="s">
        <v>4933</v>
      </c>
      <c r="B1192" s="239">
        <v>45966</v>
      </c>
      <c r="C1192" s="238" t="s">
        <v>5397</v>
      </c>
      <c r="D1192" s="238" t="s">
        <v>111</v>
      </c>
      <c r="E1192" s="238" t="s">
        <v>112</v>
      </c>
      <c r="F1192" s="238" t="s">
        <v>34</v>
      </c>
      <c r="G1192" s="238" t="s">
        <v>5398</v>
      </c>
      <c r="H1192" s="238" t="s">
        <v>2159</v>
      </c>
      <c r="I1192" s="244"/>
      <c r="J1192" s="241"/>
      <c r="K1192" s="241"/>
      <c r="L1192" s="241">
        <v>16000</v>
      </c>
      <c r="M1192" s="238"/>
      <c r="N1192" s="238" t="s">
        <v>2459</v>
      </c>
      <c r="O1192" s="238" t="s">
        <v>5399</v>
      </c>
      <c r="P1192" s="238" t="s">
        <v>647</v>
      </c>
      <c r="Q1192" s="246" t="s">
        <v>5400</v>
      </c>
      <c r="R1192" s="238">
        <v>55902</v>
      </c>
      <c r="S1192" s="238">
        <v>44.018787000000003</v>
      </c>
      <c r="T1192" s="238">
        <v>-92.466177999999999</v>
      </c>
      <c r="U1192" s="238" t="s">
        <v>378</v>
      </c>
      <c r="V1192" s="238" t="s">
        <v>5401</v>
      </c>
      <c r="W1192" s="244">
        <v>8000000</v>
      </c>
      <c r="X1192" s="238"/>
      <c r="Y1192" s="230" t="s">
        <v>5397</v>
      </c>
      <c r="Z1192" s="240"/>
      <c r="AA1192" s="230" t="s">
        <v>1788</v>
      </c>
      <c r="AB1192" s="241"/>
      <c r="AC1192" s="238" t="s">
        <v>120</v>
      </c>
      <c r="AD1192" s="250">
        <v>2025</v>
      </c>
      <c r="AE1192" s="238"/>
      <c r="AF1192" s="238"/>
      <c r="AP1192" s="239"/>
      <c r="AQ1192" s="238"/>
    </row>
    <row r="1193" spans="1:43" hidden="1">
      <c r="A1193" s="238" t="s">
        <v>4933</v>
      </c>
      <c r="B1193" s="239">
        <v>45971</v>
      </c>
      <c r="C1193" s="238" t="s">
        <v>687</v>
      </c>
      <c r="D1193" s="238" t="s">
        <v>1051</v>
      </c>
      <c r="E1193" s="238" t="s">
        <v>66</v>
      </c>
      <c r="F1193" s="238" t="s">
        <v>34</v>
      </c>
      <c r="G1193" s="252" t="s">
        <v>5402</v>
      </c>
      <c r="H1193" s="238" t="s">
        <v>1359</v>
      </c>
      <c r="I1193" s="244"/>
      <c r="J1193" s="241"/>
      <c r="K1193" s="241"/>
      <c r="L1193" s="241">
        <v>96000</v>
      </c>
      <c r="M1193" s="238" t="s">
        <v>93</v>
      </c>
      <c r="N1193" s="238" t="s">
        <v>48</v>
      </c>
      <c r="O1193" s="238" t="s">
        <v>5403</v>
      </c>
      <c r="P1193" s="238" t="s">
        <v>4705</v>
      </c>
      <c r="Q1193" s="238" t="s">
        <v>5404</v>
      </c>
      <c r="R1193" s="238">
        <v>55327</v>
      </c>
      <c r="S1193" s="238">
        <v>45.175742999999997</v>
      </c>
      <c r="T1193" s="238">
        <v>-93.513846999999998</v>
      </c>
      <c r="U1193" s="238"/>
      <c r="V1193" s="238"/>
      <c r="W1193" s="244"/>
      <c r="X1193" s="238"/>
      <c r="Y1193" s="241"/>
      <c r="Z1193" s="241"/>
      <c r="AA1193" s="238"/>
      <c r="AB1193" s="241"/>
      <c r="AC1193" s="238" t="s">
        <v>51</v>
      </c>
      <c r="AD1193" s="250">
        <v>2025</v>
      </c>
      <c r="AE1193" s="238"/>
      <c r="AF1193" s="238"/>
      <c r="AP1193" s="239"/>
      <c r="AQ1193" s="238"/>
    </row>
    <row r="1194" spans="1:43" hidden="1">
      <c r="A1194" s="238" t="s">
        <v>4933</v>
      </c>
      <c r="B1194" s="239">
        <v>45980</v>
      </c>
      <c r="C1194" s="238" t="s">
        <v>5405</v>
      </c>
      <c r="D1194" s="238" t="s">
        <v>2113</v>
      </c>
      <c r="E1194" s="238" t="s">
        <v>99</v>
      </c>
      <c r="F1194" s="238" t="s">
        <v>34</v>
      </c>
      <c r="G1194" s="238" t="s">
        <v>5406</v>
      </c>
      <c r="H1194" s="238" t="s">
        <v>5046</v>
      </c>
      <c r="I1194" s="244"/>
      <c r="J1194" s="241"/>
      <c r="K1194" s="241"/>
      <c r="L1194" s="241">
        <v>15000</v>
      </c>
      <c r="M1194" s="238" t="s">
        <v>2754</v>
      </c>
      <c r="N1194" s="238" t="s">
        <v>48</v>
      </c>
      <c r="O1194" s="238" t="s">
        <v>5407</v>
      </c>
      <c r="P1194" s="238" t="s">
        <v>4705</v>
      </c>
      <c r="Q1194" s="238" t="s">
        <v>5408</v>
      </c>
      <c r="R1194" s="238">
        <v>55102</v>
      </c>
      <c r="S1194" s="238">
        <v>44.942805</v>
      </c>
      <c r="T1194" s="238">
        <v>-93.102680000000007</v>
      </c>
      <c r="U1194" s="238"/>
      <c r="V1194" s="238"/>
      <c r="W1194" s="244"/>
      <c r="X1194" s="238"/>
      <c r="Y1194" s="241"/>
      <c r="Z1194" s="241"/>
      <c r="AA1194" s="238"/>
      <c r="AB1194" s="241"/>
      <c r="AC1194" s="238" t="s">
        <v>51</v>
      </c>
      <c r="AD1194" s="250">
        <v>2025</v>
      </c>
      <c r="AE1194" s="238"/>
      <c r="AF1194" s="238"/>
      <c r="AP1194" s="239"/>
      <c r="AQ1194" s="238"/>
    </row>
    <row r="1195" spans="1:43" hidden="1">
      <c r="A1195" s="238" t="s">
        <v>4933</v>
      </c>
      <c r="B1195" s="239">
        <v>45982</v>
      </c>
      <c r="C1195" s="238" t="s">
        <v>5409</v>
      </c>
      <c r="D1195" s="238" t="s">
        <v>5410</v>
      </c>
      <c r="E1195" s="238" t="s">
        <v>66</v>
      </c>
      <c r="F1195" s="238" t="s">
        <v>34</v>
      </c>
      <c r="G1195" s="238" t="s">
        <v>5411</v>
      </c>
      <c r="H1195" s="238" t="s">
        <v>1024</v>
      </c>
      <c r="I1195" s="244"/>
      <c r="J1195" s="241"/>
      <c r="K1195" s="241"/>
      <c r="L1195" s="241">
        <v>91000</v>
      </c>
      <c r="M1195" s="238" t="s">
        <v>93</v>
      </c>
      <c r="N1195" s="238" t="s">
        <v>48</v>
      </c>
      <c r="O1195" s="238" t="s">
        <v>5412</v>
      </c>
      <c r="P1195" s="238" t="s">
        <v>4705</v>
      </c>
      <c r="Q1195" s="238" t="s">
        <v>5413</v>
      </c>
      <c r="R1195" s="238">
        <v>55441</v>
      </c>
      <c r="S1195" s="238">
        <v>45.146859999999997</v>
      </c>
      <c r="T1195" s="238">
        <v>-93.523470000000003</v>
      </c>
      <c r="U1195" s="238"/>
      <c r="V1195" s="238"/>
      <c r="W1195" s="244"/>
      <c r="X1195" s="2" t="s">
        <v>4938</v>
      </c>
      <c r="Y1195" s="238" t="s">
        <v>5414</v>
      </c>
      <c r="Z1195" s="238"/>
      <c r="AA1195" s="238"/>
      <c r="AB1195" s="238" t="s">
        <v>2600</v>
      </c>
      <c r="AC1195" s="238" t="s">
        <v>51</v>
      </c>
      <c r="AD1195" s="250">
        <v>2025</v>
      </c>
      <c r="AE1195" s="238"/>
      <c r="AF1195" s="238"/>
      <c r="AP1195" s="239"/>
      <c r="AQ1195" s="238"/>
    </row>
    <row r="1196" spans="1:43" hidden="1">
      <c r="A1196" s="238" t="s">
        <v>4933</v>
      </c>
      <c r="B1196" s="239">
        <v>45986</v>
      </c>
      <c r="C1196" s="238" t="s">
        <v>5415</v>
      </c>
      <c r="D1196" s="238" t="s">
        <v>5416</v>
      </c>
      <c r="E1196" s="238" t="s">
        <v>4447</v>
      </c>
      <c r="F1196" s="238" t="s">
        <v>34</v>
      </c>
      <c r="G1196" s="238" t="s">
        <v>5417</v>
      </c>
      <c r="H1196" s="238" t="s">
        <v>3210</v>
      </c>
      <c r="I1196" s="244"/>
      <c r="J1196" s="241"/>
      <c r="K1196" s="241"/>
      <c r="L1196" s="241">
        <v>62400</v>
      </c>
      <c r="M1196" s="238" t="s">
        <v>77</v>
      </c>
      <c r="N1196" s="238" t="s">
        <v>48</v>
      </c>
      <c r="O1196" s="238" t="s">
        <v>5418</v>
      </c>
      <c r="P1196" s="238" t="s">
        <v>647</v>
      </c>
      <c r="Q1196" s="238" t="s">
        <v>5419</v>
      </c>
      <c r="R1196" s="238">
        <v>55807</v>
      </c>
      <c r="S1196" s="238">
        <v>46.745716999999999</v>
      </c>
      <c r="T1196" s="238">
        <v>-92.154747</v>
      </c>
      <c r="U1196" s="238"/>
      <c r="V1196" s="238"/>
      <c r="W1196" s="244"/>
      <c r="X1196" s="2" t="s">
        <v>4938</v>
      </c>
      <c r="Y1196" s="240" t="s">
        <v>5420</v>
      </c>
      <c r="Z1196" s="241"/>
      <c r="AA1196" s="238"/>
      <c r="AB1196" s="241" t="s">
        <v>1937</v>
      </c>
      <c r="AC1196" s="238" t="s">
        <v>97</v>
      </c>
      <c r="AD1196" s="250">
        <v>2025</v>
      </c>
      <c r="AE1196" s="238"/>
      <c r="AF1196" s="238"/>
      <c r="AP1196" s="239"/>
      <c r="AQ1196" s="238"/>
    </row>
    <row r="1197" spans="1:43" hidden="1">
      <c r="A1197" s="238" t="s">
        <v>4933</v>
      </c>
      <c r="B1197" s="239">
        <v>45994</v>
      </c>
      <c r="C1197" s="238" t="s">
        <v>4003</v>
      </c>
      <c r="D1197" s="238" t="s">
        <v>65</v>
      </c>
      <c r="E1197" s="238" t="s">
        <v>66</v>
      </c>
      <c r="F1197" s="238" t="s">
        <v>34</v>
      </c>
      <c r="G1197" s="238" t="s">
        <v>5421</v>
      </c>
      <c r="H1197" s="238" t="s">
        <v>2079</v>
      </c>
      <c r="I1197" s="244"/>
      <c r="J1197" s="241"/>
      <c r="K1197" s="241"/>
      <c r="L1197" s="241">
        <v>30000</v>
      </c>
      <c r="M1197" s="238"/>
      <c r="N1197" s="238" t="s">
        <v>2459</v>
      </c>
      <c r="O1197" s="238" t="s">
        <v>5261</v>
      </c>
      <c r="P1197" s="238" t="s">
        <v>4705</v>
      </c>
      <c r="Q1197" s="246" t="s">
        <v>5422</v>
      </c>
      <c r="R1197" s="238">
        <v>55402</v>
      </c>
      <c r="S1197" s="238">
        <v>44.974516000000001</v>
      </c>
      <c r="T1197" s="238">
        <v>-93.267538000000002</v>
      </c>
      <c r="U1197" s="238"/>
      <c r="V1197" s="238"/>
      <c r="W1197" s="244"/>
      <c r="X1197" s="238" t="s">
        <v>2319</v>
      </c>
      <c r="Y1197" s="238" t="s">
        <v>4007</v>
      </c>
      <c r="Z1197" s="238"/>
      <c r="AA1197" s="238"/>
      <c r="AB1197" s="238" t="s">
        <v>1323</v>
      </c>
      <c r="AC1197" s="238" t="s">
        <v>51</v>
      </c>
      <c r="AD1197" s="250">
        <v>2025</v>
      </c>
      <c r="AE1197" s="238"/>
      <c r="AF1197" s="238"/>
      <c r="AP1197" s="239"/>
      <c r="AQ1197" s="238"/>
    </row>
    <row r="1198" spans="1:43" hidden="1">
      <c r="A1198" s="238" t="s">
        <v>4933</v>
      </c>
      <c r="B1198" s="239">
        <v>45996</v>
      </c>
      <c r="C1198" s="238" t="s">
        <v>5423</v>
      </c>
      <c r="D1198" s="238" t="s">
        <v>145</v>
      </c>
      <c r="E1198" s="238" t="s">
        <v>66</v>
      </c>
      <c r="F1198" s="238" t="s">
        <v>34</v>
      </c>
      <c r="G1198" s="238" t="s">
        <v>5424</v>
      </c>
      <c r="H1198" s="238" t="s">
        <v>3231</v>
      </c>
      <c r="I1198" s="244"/>
      <c r="J1198" s="241"/>
      <c r="K1198" s="241"/>
      <c r="L1198" s="241">
        <v>17291</v>
      </c>
      <c r="M1198" s="238" t="s">
        <v>2754</v>
      </c>
      <c r="N1198" s="238" t="s">
        <v>48</v>
      </c>
      <c r="O1198" s="238" t="s">
        <v>5425</v>
      </c>
      <c r="P1198" s="238" t="s">
        <v>647</v>
      </c>
      <c r="Q1198" s="238" t="s">
        <v>5426</v>
      </c>
      <c r="R1198" s="238">
        <v>55428</v>
      </c>
      <c r="S1198" s="238">
        <v>45.051074999999997</v>
      </c>
      <c r="T1198" s="238">
        <v>-93.392722000000006</v>
      </c>
      <c r="U1198" s="238"/>
      <c r="V1198" s="238"/>
      <c r="W1198" s="244"/>
      <c r="X1198" s="238"/>
      <c r="Y1198" s="241"/>
      <c r="Z1198" s="241"/>
      <c r="AA1198" s="238"/>
      <c r="AB1198" s="241"/>
      <c r="AC1198" s="238" t="s">
        <v>51</v>
      </c>
      <c r="AD1198" s="250">
        <v>2025</v>
      </c>
      <c r="AE1198" s="238"/>
      <c r="AF1198" s="238"/>
      <c r="AP1198" s="245"/>
      <c r="AQ1198" s="238"/>
    </row>
    <row r="1199" spans="1:43" hidden="1">
      <c r="A1199" s="238" t="s">
        <v>4933</v>
      </c>
      <c r="B1199" s="239">
        <v>46002</v>
      </c>
      <c r="C1199" s="238" t="s">
        <v>5427</v>
      </c>
      <c r="D1199" s="238" t="s">
        <v>544</v>
      </c>
      <c r="E1199" s="238" t="s">
        <v>66</v>
      </c>
      <c r="F1199" s="238" t="s">
        <v>34</v>
      </c>
      <c r="G1199" s="238" t="s">
        <v>5428</v>
      </c>
      <c r="H1199" s="238" t="s">
        <v>1359</v>
      </c>
      <c r="I1199" s="244"/>
      <c r="J1199" s="241"/>
      <c r="K1199" s="241"/>
      <c r="L1199" s="241">
        <f>23000-14000</f>
        <v>9000</v>
      </c>
      <c r="M1199" s="238" t="s">
        <v>3487</v>
      </c>
      <c r="N1199" s="238" t="s">
        <v>4703</v>
      </c>
      <c r="O1199" s="238" t="s">
        <v>5429</v>
      </c>
      <c r="P1199" s="238" t="s">
        <v>3703</v>
      </c>
      <c r="Q1199" s="238" t="s">
        <v>5430</v>
      </c>
      <c r="R1199" s="238">
        <v>55426</v>
      </c>
      <c r="S1199" s="238">
        <v>44.976447</v>
      </c>
      <c r="T1199" s="238">
        <v>-93.402000999999998</v>
      </c>
      <c r="U1199" s="238"/>
      <c r="V1199" s="238"/>
      <c r="W1199" s="244"/>
      <c r="X1199" s="238"/>
      <c r="Y1199" s="241"/>
      <c r="Z1199" s="241"/>
      <c r="AA1199" s="238"/>
      <c r="AB1199" s="241"/>
      <c r="AC1199" s="238" t="s">
        <v>51</v>
      </c>
      <c r="AD1199" s="250">
        <v>2025</v>
      </c>
      <c r="AE1199" s="238"/>
      <c r="AF1199" s="238"/>
      <c r="AP1199" s="245"/>
      <c r="AQ1199" s="238"/>
    </row>
    <row r="1200" spans="1:43" hidden="1">
      <c r="A1200" s="238" t="s">
        <v>4933</v>
      </c>
      <c r="B1200" s="239">
        <v>46022</v>
      </c>
      <c r="C1200" s="238" t="s">
        <v>5431</v>
      </c>
      <c r="D1200" s="238" t="s">
        <v>546</v>
      </c>
      <c r="E1200" s="238" t="s">
        <v>66</v>
      </c>
      <c r="F1200" s="238" t="s">
        <v>34</v>
      </c>
      <c r="G1200" s="238" t="s">
        <v>5432</v>
      </c>
      <c r="H1200" s="238" t="s">
        <v>4523</v>
      </c>
      <c r="I1200" s="244"/>
      <c r="J1200" s="241"/>
      <c r="K1200" s="241"/>
      <c r="L1200" s="241">
        <v>11500</v>
      </c>
      <c r="M1200" s="238"/>
      <c r="N1200" s="238" t="s">
        <v>384</v>
      </c>
      <c r="O1200" s="238" t="s">
        <v>5433</v>
      </c>
      <c r="P1200" s="238" t="s">
        <v>3009</v>
      </c>
      <c r="Q1200" s="243" t="s">
        <v>5434</v>
      </c>
      <c r="R1200" s="238">
        <v>55044</v>
      </c>
      <c r="S1200" s="238">
        <v>44.637189999999997</v>
      </c>
      <c r="T1200" s="238">
        <v>-93.231710000000007</v>
      </c>
      <c r="U1200" s="238"/>
      <c r="V1200" s="238"/>
      <c r="W1200" s="244"/>
      <c r="X1200" s="238"/>
      <c r="Y1200" s="241"/>
      <c r="Z1200" s="241"/>
      <c r="AA1200" s="238"/>
      <c r="AB1200" s="241"/>
      <c r="AC1200" s="238" t="s">
        <v>51</v>
      </c>
      <c r="AD1200" s="250">
        <v>2025</v>
      </c>
      <c r="AE1200" s="238"/>
      <c r="AF1200" s="238"/>
      <c r="AP1200" s="245"/>
      <c r="AQ1200" s="238"/>
    </row>
    <row r="1201" spans="1:49" s="287" customFormat="1" ht="15.75" hidden="1">
      <c r="A1201" s="287" t="s">
        <v>4813</v>
      </c>
      <c r="B1201" s="288">
        <v>45657</v>
      </c>
      <c r="C1201" s="287" t="s">
        <v>5435</v>
      </c>
      <c r="D1201" s="287" t="s">
        <v>73</v>
      </c>
      <c r="E1201" s="287" t="s">
        <v>74</v>
      </c>
      <c r="F1201" s="287" t="s">
        <v>34</v>
      </c>
      <c r="G1201" s="287" t="s">
        <v>5436</v>
      </c>
      <c r="H1201" s="287" t="s">
        <v>131</v>
      </c>
      <c r="I1201" s="290"/>
      <c r="J1201" s="290"/>
      <c r="K1201" s="290"/>
      <c r="L1201" s="290">
        <v>45817</v>
      </c>
      <c r="M1201" s="287" t="s">
        <v>5437</v>
      </c>
      <c r="N1201" s="287" t="s">
        <v>48</v>
      </c>
      <c r="O1201" s="287" t="s">
        <v>5438</v>
      </c>
      <c r="Q1201" s="287" t="s">
        <v>5439</v>
      </c>
      <c r="R1201" s="291">
        <v>55075</v>
      </c>
      <c r="S1201" s="291">
        <v>44.877023000000001</v>
      </c>
      <c r="T1201" s="291">
        <v>-93.025677999999999</v>
      </c>
      <c r="W1201" s="289"/>
      <c r="AC1201" s="287" t="s">
        <v>51</v>
      </c>
      <c r="AD1201" s="287">
        <f t="shared" ref="AD1201:AD1231" si="20">YEAR(B1201)</f>
        <v>2024</v>
      </c>
      <c r="AE1201" s="291"/>
      <c r="AH1201" s="292"/>
      <c r="AJ1201" s="292"/>
      <c r="AL1201" s="292"/>
      <c r="AM1201" s="292"/>
      <c r="AN1201" s="292"/>
      <c r="AO1201" s="292"/>
      <c r="AP1201" s="292"/>
      <c r="AQ1201" s="292"/>
      <c r="AR1201" s="292"/>
      <c r="AS1201" s="292"/>
      <c r="AT1201" s="292"/>
      <c r="AU1201" s="292"/>
      <c r="AV1201" s="292"/>
      <c r="AW1201" s="292"/>
    </row>
    <row r="1202" spans="1:49" s="287" customFormat="1" ht="15.75" hidden="1">
      <c r="A1202" s="287" t="s">
        <v>4933</v>
      </c>
      <c r="B1202" s="288">
        <v>45982</v>
      </c>
      <c r="C1202" s="293" t="s">
        <v>5440</v>
      </c>
      <c r="D1202" s="293" t="s">
        <v>467</v>
      </c>
      <c r="E1202" s="287" t="s">
        <v>468</v>
      </c>
      <c r="F1202" s="287" t="s">
        <v>34</v>
      </c>
      <c r="G1202" s="297" t="s">
        <v>5441</v>
      </c>
      <c r="H1202" s="287" t="s">
        <v>1359</v>
      </c>
      <c r="I1202" s="296">
        <v>4718627</v>
      </c>
      <c r="J1202" s="290">
        <v>8</v>
      </c>
      <c r="K1202" s="290">
        <v>65</v>
      </c>
      <c r="L1202" s="290">
        <v>20000</v>
      </c>
      <c r="M1202" s="287" t="s">
        <v>5442</v>
      </c>
      <c r="N1202" s="287" t="s">
        <v>300</v>
      </c>
      <c r="O1202" s="287" t="s">
        <v>5443</v>
      </c>
      <c r="P1202" s="287" t="s">
        <v>5444</v>
      </c>
      <c r="Q1202" s="287" t="s">
        <v>5445</v>
      </c>
      <c r="R1202" s="287">
        <v>55021</v>
      </c>
      <c r="S1202" s="287">
        <v>44.294733999999998</v>
      </c>
      <c r="T1202" s="287">
        <v>-93.271528000000004</v>
      </c>
      <c r="W1202" s="294"/>
      <c r="AC1202" s="291" t="s">
        <v>120</v>
      </c>
      <c r="AD1202" s="287">
        <f t="shared" si="20"/>
        <v>2025</v>
      </c>
      <c r="AE1202" s="291"/>
      <c r="AH1202" s="292"/>
      <c r="AJ1202" s="292"/>
      <c r="AL1202" s="292"/>
      <c r="AM1202" s="292"/>
      <c r="AN1202" s="292"/>
      <c r="AO1202" s="292"/>
      <c r="AP1202" s="292"/>
      <c r="AQ1202" s="292"/>
      <c r="AR1202" s="292"/>
      <c r="AS1202" s="292"/>
      <c r="AT1202" s="292"/>
      <c r="AU1202" s="292"/>
      <c r="AV1202" s="292"/>
      <c r="AW1202" s="292"/>
    </row>
    <row r="1203" spans="1:49" s="298" customFormat="1" ht="15.75">
      <c r="A1203" s="298" t="s">
        <v>5446</v>
      </c>
      <c r="B1203" s="299">
        <v>46031</v>
      </c>
      <c r="C1203" s="298" t="s">
        <v>5447</v>
      </c>
      <c r="D1203" s="298" t="s">
        <v>5448</v>
      </c>
      <c r="E1203" s="298" t="s">
        <v>5449</v>
      </c>
      <c r="F1203" s="300" t="s">
        <v>34</v>
      </c>
      <c r="G1203" s="298" t="s">
        <v>5450</v>
      </c>
      <c r="H1203" s="298" t="s">
        <v>131</v>
      </c>
      <c r="I1203" s="301">
        <v>5685000</v>
      </c>
      <c r="J1203" s="298">
        <v>12</v>
      </c>
      <c r="M1203" s="298" t="s">
        <v>93</v>
      </c>
      <c r="N1203" s="298" t="s">
        <v>48</v>
      </c>
      <c r="O1203" s="298" t="s">
        <v>5451</v>
      </c>
      <c r="P1203" s="298" t="s">
        <v>658</v>
      </c>
      <c r="Q1203" s="298" t="s">
        <v>5452</v>
      </c>
      <c r="R1203" s="298">
        <v>55063</v>
      </c>
      <c r="S1203" s="298">
        <v>45.843558999999999</v>
      </c>
      <c r="T1203" s="298">
        <v>-92.966693000000006</v>
      </c>
      <c r="U1203" s="298" t="s">
        <v>378</v>
      </c>
      <c r="V1203" s="298" t="s">
        <v>5453</v>
      </c>
      <c r="W1203" s="302">
        <f>167500+200000</f>
        <v>367500</v>
      </c>
      <c r="Y1203" s="298" t="s">
        <v>5454</v>
      </c>
      <c r="Z1203" s="298" t="s">
        <v>5455</v>
      </c>
      <c r="AB1203" s="298" t="s">
        <v>5456</v>
      </c>
      <c r="AC1203" s="298" t="s">
        <v>97</v>
      </c>
      <c r="AD1203" s="300">
        <f t="shared" si="20"/>
        <v>2026</v>
      </c>
    </row>
    <row r="1204" spans="1:49" s="298" customFormat="1" ht="15.75">
      <c r="A1204" s="298" t="s">
        <v>5446</v>
      </c>
      <c r="B1204" s="299">
        <v>46034</v>
      </c>
      <c r="C1204" s="298" t="s">
        <v>1782</v>
      </c>
      <c r="D1204" s="298" t="s">
        <v>165</v>
      </c>
      <c r="E1204" s="298" t="s">
        <v>66</v>
      </c>
      <c r="F1204" s="298" t="s">
        <v>34</v>
      </c>
      <c r="G1204" s="298" t="s">
        <v>5457</v>
      </c>
      <c r="H1204" s="298" t="s">
        <v>5458</v>
      </c>
      <c r="I1204" s="303"/>
      <c r="J1204" s="303"/>
      <c r="K1204" s="303"/>
      <c r="L1204" s="303">
        <v>300000</v>
      </c>
      <c r="M1204" s="298" t="s">
        <v>5459</v>
      </c>
      <c r="N1204" s="298" t="s">
        <v>48</v>
      </c>
      <c r="O1204" s="298" t="s">
        <v>5460</v>
      </c>
      <c r="Q1204" s="298" t="s">
        <v>4941</v>
      </c>
      <c r="R1204" s="298">
        <v>55311</v>
      </c>
      <c r="S1204" s="298">
        <v>45.103921</v>
      </c>
      <c r="T1204" s="298">
        <v>-93.467685000000003</v>
      </c>
      <c r="W1204" s="302"/>
      <c r="AC1204" s="300" t="s">
        <v>51</v>
      </c>
      <c r="AD1204" s="300">
        <f t="shared" si="20"/>
        <v>2026</v>
      </c>
    </row>
    <row r="1205" spans="1:49" s="298" customFormat="1" ht="15.75">
      <c r="A1205" s="298" t="s">
        <v>5446</v>
      </c>
      <c r="B1205" s="299">
        <v>46034</v>
      </c>
      <c r="C1205" s="298" t="s">
        <v>2246</v>
      </c>
      <c r="D1205" s="298" t="s">
        <v>270</v>
      </c>
      <c r="E1205" s="298" t="s">
        <v>99</v>
      </c>
      <c r="F1205" s="300" t="s">
        <v>34</v>
      </c>
      <c r="G1205" s="298" t="s">
        <v>5461</v>
      </c>
      <c r="H1205" s="298" t="s">
        <v>131</v>
      </c>
      <c r="I1205" s="303">
        <v>500000</v>
      </c>
      <c r="J1205" s="303">
        <v>50</v>
      </c>
      <c r="K1205" s="303"/>
      <c r="L1205" s="303">
        <v>22000</v>
      </c>
      <c r="M1205" s="298" t="s">
        <v>93</v>
      </c>
      <c r="N1205" s="298" t="s">
        <v>48</v>
      </c>
      <c r="O1205" s="298" t="s">
        <v>5462</v>
      </c>
      <c r="Q1205" s="298" t="s">
        <v>2249</v>
      </c>
      <c r="R1205" s="298">
        <v>56138</v>
      </c>
      <c r="S1205" s="298">
        <v>43.525185</v>
      </c>
      <c r="T1205" s="298">
        <v>-96.358365000000006</v>
      </c>
      <c r="W1205" s="302"/>
      <c r="AC1205" s="298" t="s">
        <v>51</v>
      </c>
      <c r="AD1205" s="300">
        <f t="shared" si="20"/>
        <v>2026</v>
      </c>
    </row>
    <row r="1206" spans="1:49" s="298" customFormat="1" ht="15.75">
      <c r="A1206" s="298" t="s">
        <v>5446</v>
      </c>
      <c r="B1206" s="299">
        <v>46035</v>
      </c>
      <c r="C1206" s="298" t="s">
        <v>5463</v>
      </c>
      <c r="D1206" s="298" t="s">
        <v>73</v>
      </c>
      <c r="E1206" s="298" t="s">
        <v>74</v>
      </c>
      <c r="F1206" s="298" t="s">
        <v>34</v>
      </c>
      <c r="G1206" s="298" t="s">
        <v>5464</v>
      </c>
      <c r="H1206" s="298" t="s">
        <v>5046</v>
      </c>
      <c r="I1206" s="303"/>
      <c r="J1206" s="303">
        <v>40</v>
      </c>
      <c r="K1206" s="303"/>
      <c r="L1206" s="303">
        <f>(4920+505)*2</f>
        <v>10850</v>
      </c>
      <c r="M1206" s="298" t="s">
        <v>5465</v>
      </c>
      <c r="N1206" s="298" t="s">
        <v>48</v>
      </c>
      <c r="O1206" s="298" t="s">
        <v>5466</v>
      </c>
      <c r="Q1206" s="298" t="s">
        <v>5467</v>
      </c>
      <c r="R1206" s="298">
        <v>55075</v>
      </c>
      <c r="S1206" s="298">
        <v>44.873386000000004</v>
      </c>
      <c r="T1206" s="298">
        <v>-93.02646</v>
      </c>
      <c r="W1206" s="302"/>
      <c r="AC1206" s="300" t="s">
        <v>51</v>
      </c>
      <c r="AD1206" s="300">
        <f t="shared" si="20"/>
        <v>2026</v>
      </c>
    </row>
    <row r="1207" spans="1:49" s="298" customFormat="1" ht="15.75">
      <c r="A1207" s="298" t="s">
        <v>5446</v>
      </c>
      <c r="B1207" s="299">
        <v>46038</v>
      </c>
      <c r="C1207" s="298" t="s">
        <v>5100</v>
      </c>
      <c r="D1207" s="298" t="s">
        <v>528</v>
      </c>
      <c r="E1207" s="298" t="s">
        <v>66</v>
      </c>
      <c r="F1207" s="298" t="s">
        <v>34</v>
      </c>
      <c r="G1207" s="298" t="s">
        <v>5468</v>
      </c>
      <c r="H1207" s="298" t="s">
        <v>2079</v>
      </c>
      <c r="I1207" s="304">
        <v>3123900</v>
      </c>
      <c r="J1207" s="303">
        <v>100</v>
      </c>
      <c r="K1207" s="303"/>
      <c r="L1207" s="303">
        <v>6000</v>
      </c>
      <c r="M1207" s="298" t="s">
        <v>1636</v>
      </c>
      <c r="N1207" s="298" t="s">
        <v>140</v>
      </c>
      <c r="O1207" s="298" t="s">
        <v>5469</v>
      </c>
      <c r="Q1207" s="298" t="s">
        <v>5470</v>
      </c>
      <c r="R1207" s="298">
        <v>55431</v>
      </c>
      <c r="S1207" s="298">
        <v>44.811971999999997</v>
      </c>
      <c r="T1207" s="298">
        <v>-93.322891999999996</v>
      </c>
      <c r="W1207" s="302"/>
      <c r="AC1207" s="300" t="s">
        <v>51</v>
      </c>
      <c r="AD1207" s="300">
        <f t="shared" si="20"/>
        <v>2026</v>
      </c>
      <c r="AF1207" s="305"/>
    </row>
    <row r="1208" spans="1:49" s="298" customFormat="1" ht="15.75">
      <c r="A1208" s="298" t="s">
        <v>5446</v>
      </c>
      <c r="B1208" s="299">
        <v>46039</v>
      </c>
      <c r="C1208" s="298" t="s">
        <v>5471</v>
      </c>
      <c r="D1208" s="298" t="s">
        <v>111</v>
      </c>
      <c r="E1208" s="298" t="s">
        <v>112</v>
      </c>
      <c r="F1208" s="300" t="s">
        <v>34</v>
      </c>
      <c r="G1208" s="298" t="s">
        <v>5472</v>
      </c>
      <c r="H1208" s="298" t="s">
        <v>2214</v>
      </c>
      <c r="I1208" s="303"/>
      <c r="J1208" s="303"/>
      <c r="K1208" s="303"/>
      <c r="L1208" s="303">
        <v>20000</v>
      </c>
      <c r="M1208" s="298" t="s">
        <v>2732</v>
      </c>
      <c r="N1208" s="298" t="s">
        <v>48</v>
      </c>
      <c r="O1208" s="298" t="s">
        <v>5473</v>
      </c>
      <c r="Q1208" s="298" t="s">
        <v>5474</v>
      </c>
      <c r="R1208" s="298">
        <v>55901</v>
      </c>
      <c r="S1208" s="298">
        <v>44.039090000000002</v>
      </c>
      <c r="T1208" s="298">
        <v>-92.501705000000001</v>
      </c>
      <c r="W1208" s="302"/>
      <c r="AC1208" s="298" t="s">
        <v>120</v>
      </c>
      <c r="AD1208" s="300">
        <f t="shared" si="20"/>
        <v>2026</v>
      </c>
    </row>
    <row r="1209" spans="1:49" s="298" customFormat="1" ht="15.75">
      <c r="A1209" s="298" t="s">
        <v>5446</v>
      </c>
      <c r="B1209" s="299">
        <v>46052</v>
      </c>
      <c r="C1209" s="298" t="s">
        <v>5475</v>
      </c>
      <c r="D1209" s="298" t="s">
        <v>203</v>
      </c>
      <c r="E1209" s="298" t="s">
        <v>74</v>
      </c>
      <c r="F1209" s="298" t="s">
        <v>34</v>
      </c>
      <c r="G1209" s="298" t="s">
        <v>5476</v>
      </c>
      <c r="H1209" s="298" t="s">
        <v>5046</v>
      </c>
      <c r="I1209" s="303">
        <v>7500000</v>
      </c>
      <c r="J1209" s="303">
        <v>80</v>
      </c>
      <c r="K1209" s="303"/>
      <c r="L1209" s="303">
        <v>13800</v>
      </c>
      <c r="M1209" s="306" t="s">
        <v>796</v>
      </c>
      <c r="N1209" s="307" t="s">
        <v>103</v>
      </c>
      <c r="O1209" s="298" t="s">
        <v>5477</v>
      </c>
      <c r="Q1209" s="298" t="s">
        <v>5478</v>
      </c>
      <c r="R1209" s="298">
        <v>55121</v>
      </c>
      <c r="S1209" s="298">
        <v>44.836894999999998</v>
      </c>
      <c r="T1209" s="298">
        <v>-93.192187000000004</v>
      </c>
      <c r="W1209" s="302"/>
      <c r="Y1209" s="298" t="s">
        <v>5479</v>
      </c>
      <c r="Z1209" s="298" t="s">
        <v>5480</v>
      </c>
      <c r="AA1209" s="298" t="s">
        <v>1123</v>
      </c>
      <c r="AC1209" s="300" t="s">
        <v>51</v>
      </c>
      <c r="AD1209" s="300">
        <f t="shared" si="20"/>
        <v>2026</v>
      </c>
    </row>
    <row r="1210" spans="1:49" s="298" customFormat="1" ht="15.75">
      <c r="A1210" s="298" t="s">
        <v>5446</v>
      </c>
      <c r="B1210" s="299">
        <v>46055</v>
      </c>
      <c r="C1210" s="298" t="s">
        <v>5481</v>
      </c>
      <c r="D1210" s="298" t="s">
        <v>2871</v>
      </c>
      <c r="E1210" s="298" t="s">
        <v>1557</v>
      </c>
      <c r="F1210" s="300" t="s">
        <v>34</v>
      </c>
      <c r="G1210" s="298" t="s">
        <v>5482</v>
      </c>
      <c r="H1210" s="298" t="s">
        <v>131</v>
      </c>
      <c r="I1210" s="303">
        <v>157000000</v>
      </c>
      <c r="J1210" s="303">
        <v>100</v>
      </c>
      <c r="K1210" s="303"/>
      <c r="L1210" s="303">
        <v>350000</v>
      </c>
      <c r="M1210" s="298" t="s">
        <v>496</v>
      </c>
      <c r="N1210" s="298" t="s">
        <v>48</v>
      </c>
      <c r="O1210" s="298" t="s">
        <v>5483</v>
      </c>
      <c r="P1210" s="298" t="s">
        <v>5484</v>
      </c>
      <c r="Q1210" s="298" t="s">
        <v>5485</v>
      </c>
      <c r="R1210" s="298">
        <v>55056</v>
      </c>
      <c r="S1210" s="298">
        <v>45.512500000000003</v>
      </c>
      <c r="T1210" s="298">
        <v>-92.983329999999995</v>
      </c>
      <c r="W1210" s="302"/>
      <c r="Y1210" s="298" t="s">
        <v>5481</v>
      </c>
      <c r="Z1210" s="298" t="s">
        <v>5486</v>
      </c>
      <c r="AA1210" s="298" t="s">
        <v>82</v>
      </c>
      <c r="AC1210" s="298" t="s">
        <v>97</v>
      </c>
      <c r="AD1210" s="300">
        <f t="shared" si="20"/>
        <v>2026</v>
      </c>
    </row>
    <row r="1211" spans="1:49" s="298" customFormat="1" ht="15.75">
      <c r="A1211" s="298" t="s">
        <v>5446</v>
      </c>
      <c r="B1211" s="299">
        <v>46058</v>
      </c>
      <c r="C1211" s="298" t="s">
        <v>3234</v>
      </c>
      <c r="D1211" s="298" t="s">
        <v>65</v>
      </c>
      <c r="E1211" s="298" t="s">
        <v>66</v>
      </c>
      <c r="F1211" s="298" t="s">
        <v>34</v>
      </c>
      <c r="G1211" s="298" t="s">
        <v>5487</v>
      </c>
      <c r="I1211" s="303"/>
      <c r="J1211" s="303">
        <v>45</v>
      </c>
      <c r="K1211" s="303"/>
      <c r="L1211" s="303"/>
      <c r="M1211" s="298" t="s">
        <v>85</v>
      </c>
      <c r="N1211" s="298" t="s">
        <v>300</v>
      </c>
      <c r="O1211" s="298" t="s">
        <v>5488</v>
      </c>
      <c r="Q1211" s="298" t="s">
        <v>5489</v>
      </c>
      <c r="R1211" s="298">
        <v>55401</v>
      </c>
      <c r="S1211" s="298">
        <v>44.983955000000002</v>
      </c>
      <c r="T1211" s="298">
        <v>-93.271454000000006</v>
      </c>
      <c r="W1211" s="302"/>
      <c r="AC1211" s="300" t="s">
        <v>51</v>
      </c>
      <c r="AD1211" s="300">
        <f t="shared" si="20"/>
        <v>2026</v>
      </c>
    </row>
    <row r="1212" spans="1:49" s="298" customFormat="1" ht="15.75">
      <c r="A1212" s="298" t="s">
        <v>5446</v>
      </c>
      <c r="B1212" s="299">
        <v>46058</v>
      </c>
      <c r="C1212" s="298" t="s">
        <v>5490</v>
      </c>
      <c r="D1212" s="298" t="s">
        <v>2299</v>
      </c>
      <c r="E1212" s="298" t="s">
        <v>66</v>
      </c>
      <c r="F1212" s="298" t="s">
        <v>34</v>
      </c>
      <c r="G1212" s="298" t="s">
        <v>5491</v>
      </c>
      <c r="H1212" s="298" t="s">
        <v>131</v>
      </c>
      <c r="I1212" s="303"/>
      <c r="J1212" s="303"/>
      <c r="K1212" s="303"/>
      <c r="L1212" s="303">
        <v>3600</v>
      </c>
      <c r="M1212" s="298" t="s">
        <v>2754</v>
      </c>
      <c r="N1212" s="298" t="s">
        <v>48</v>
      </c>
      <c r="O1212" s="298" t="s">
        <v>5488</v>
      </c>
      <c r="Q1212" s="298" t="s">
        <v>5492</v>
      </c>
      <c r="R1212" s="298">
        <v>55416</v>
      </c>
      <c r="S1212" s="298">
        <v>44.938819000000002</v>
      </c>
      <c r="T1212" s="298">
        <v>-93.345033000000001</v>
      </c>
      <c r="W1212" s="302"/>
      <c r="AC1212" s="300" t="s">
        <v>51</v>
      </c>
      <c r="AD1212" s="300">
        <f t="shared" si="20"/>
        <v>2026</v>
      </c>
    </row>
    <row r="1213" spans="1:49" s="298" customFormat="1" ht="15.75">
      <c r="A1213" s="298" t="s">
        <v>5446</v>
      </c>
      <c r="B1213" s="299">
        <v>46062</v>
      </c>
      <c r="C1213" s="298" t="s">
        <v>5493</v>
      </c>
      <c r="D1213" s="298" t="s">
        <v>2113</v>
      </c>
      <c r="E1213" s="298" t="s">
        <v>99</v>
      </c>
      <c r="F1213" s="298" t="s">
        <v>34</v>
      </c>
      <c r="G1213" s="298" t="s">
        <v>5494</v>
      </c>
      <c r="H1213" s="298" t="s">
        <v>3231</v>
      </c>
      <c r="I1213" s="303"/>
      <c r="J1213" s="303"/>
      <c r="K1213" s="303"/>
      <c r="L1213" s="303">
        <v>17500</v>
      </c>
      <c r="M1213" s="298" t="s">
        <v>2307</v>
      </c>
      <c r="N1213" s="298" t="s">
        <v>48</v>
      </c>
      <c r="O1213" s="298" t="s">
        <v>5495</v>
      </c>
      <c r="Q1213" s="298" t="s">
        <v>5496</v>
      </c>
      <c r="R1213" s="298">
        <v>55104</v>
      </c>
      <c r="S1213" s="298">
        <v>44.955658999999997</v>
      </c>
      <c r="T1213" s="298">
        <v>-93.171447000000001</v>
      </c>
      <c r="W1213" s="308"/>
      <c r="AC1213" s="300" t="s">
        <v>51</v>
      </c>
      <c r="AD1213" s="300">
        <f t="shared" si="20"/>
        <v>2026</v>
      </c>
    </row>
    <row r="1214" spans="1:49" s="298" customFormat="1" ht="15.75">
      <c r="A1214" s="298" t="s">
        <v>5446</v>
      </c>
      <c r="B1214" s="299">
        <v>46062</v>
      </c>
      <c r="C1214" s="298" t="s">
        <v>5497</v>
      </c>
      <c r="D1214" s="298" t="s">
        <v>65</v>
      </c>
      <c r="E1214" s="298" t="s">
        <v>66</v>
      </c>
      <c r="F1214" s="298" t="s">
        <v>34</v>
      </c>
      <c r="G1214" s="298" t="s">
        <v>5498</v>
      </c>
      <c r="H1214" s="298" t="s">
        <v>1359</v>
      </c>
      <c r="I1214" s="303"/>
      <c r="J1214" s="303"/>
      <c r="K1214" s="303"/>
      <c r="L1214" s="303">
        <f>24000-10500</f>
        <v>13500</v>
      </c>
      <c r="M1214" s="298" t="s">
        <v>3379</v>
      </c>
      <c r="N1214" s="298" t="s">
        <v>86</v>
      </c>
      <c r="O1214" s="298" t="s">
        <v>5499</v>
      </c>
      <c r="Q1214" s="298" t="s">
        <v>5500</v>
      </c>
      <c r="R1214" s="298">
        <v>55410</v>
      </c>
      <c r="S1214" s="298">
        <v>44.923606999999997</v>
      </c>
      <c r="T1214" s="298">
        <v>-93.314627999999999</v>
      </c>
      <c r="W1214" s="302"/>
      <c r="AC1214" s="300" t="s">
        <v>51</v>
      </c>
      <c r="AD1214" s="300">
        <f t="shared" si="20"/>
        <v>2026</v>
      </c>
    </row>
    <row r="1215" spans="1:49" s="298" customFormat="1" ht="15.75">
      <c r="A1215" s="298" t="s">
        <v>5446</v>
      </c>
      <c r="B1215" s="299">
        <v>46071</v>
      </c>
      <c r="C1215" s="298" t="s">
        <v>5501</v>
      </c>
      <c r="D1215" s="298" t="s">
        <v>5502</v>
      </c>
      <c r="E1215" s="298" t="s">
        <v>5502</v>
      </c>
      <c r="F1215" s="300" t="s">
        <v>34</v>
      </c>
      <c r="G1215" s="298" t="s">
        <v>5503</v>
      </c>
      <c r="I1215" s="309">
        <v>20000000</v>
      </c>
      <c r="J1215" s="303">
        <v>400</v>
      </c>
      <c r="K1215" s="303"/>
      <c r="L1215" s="303">
        <v>120000</v>
      </c>
      <c r="M1215" s="298" t="s">
        <v>93</v>
      </c>
      <c r="N1215" s="298" t="s">
        <v>48</v>
      </c>
      <c r="O1215" s="298" t="s">
        <v>5504</v>
      </c>
      <c r="R1215" s="298">
        <v>55750</v>
      </c>
      <c r="S1215" s="298">
        <v>47.532423999999999</v>
      </c>
      <c r="T1215" s="298">
        <v>-92.107671999999994</v>
      </c>
      <c r="W1215" s="308"/>
      <c r="AD1215" s="300">
        <f t="shared" si="20"/>
        <v>2026</v>
      </c>
    </row>
    <row r="1216" spans="1:49" s="298" customFormat="1" ht="15.75">
      <c r="A1216" s="298" t="s">
        <v>5446</v>
      </c>
      <c r="B1216" s="299">
        <v>46073</v>
      </c>
      <c r="C1216" s="310" t="s">
        <v>5505</v>
      </c>
      <c r="D1216" s="298" t="s">
        <v>1991</v>
      </c>
      <c r="E1216" s="298" t="s">
        <v>572</v>
      </c>
      <c r="F1216" s="298" t="s">
        <v>34</v>
      </c>
      <c r="G1216" s="298" t="s">
        <v>5506</v>
      </c>
      <c r="H1216" s="298" t="s">
        <v>131</v>
      </c>
      <c r="I1216" s="309"/>
      <c r="J1216" s="303"/>
      <c r="K1216" s="303"/>
      <c r="L1216" s="303"/>
      <c r="M1216" s="298" t="s">
        <v>2799</v>
      </c>
      <c r="N1216" s="298" t="s">
        <v>48</v>
      </c>
      <c r="O1216" s="298" t="s">
        <v>5507</v>
      </c>
      <c r="Q1216" s="298" t="s">
        <v>5508</v>
      </c>
      <c r="R1216" s="298">
        <v>55320</v>
      </c>
      <c r="S1216" s="298">
        <v>45.413975000000001</v>
      </c>
      <c r="T1216" s="298">
        <v>-94.048665999999997</v>
      </c>
      <c r="W1216" s="311"/>
      <c r="AC1216" s="298" t="s">
        <v>41</v>
      </c>
      <c r="AD1216" s="300">
        <f t="shared" si="20"/>
        <v>2026</v>
      </c>
    </row>
    <row r="1217" spans="1:30" s="298" customFormat="1" ht="15.75">
      <c r="A1217" s="298" t="s">
        <v>5446</v>
      </c>
      <c r="B1217" s="299">
        <v>46077</v>
      </c>
      <c r="C1217" s="312" t="s">
        <v>5509</v>
      </c>
      <c r="D1217" s="298" t="s">
        <v>5510</v>
      </c>
      <c r="E1217" s="298" t="s">
        <v>2027</v>
      </c>
      <c r="F1217" s="298" t="s">
        <v>34</v>
      </c>
      <c r="G1217" s="298" t="s">
        <v>5511</v>
      </c>
      <c r="H1217" s="298" t="s">
        <v>131</v>
      </c>
      <c r="I1217" s="301">
        <v>625000</v>
      </c>
      <c r="J1217" s="303">
        <v>7</v>
      </c>
      <c r="K1217" s="303"/>
      <c r="L1217" s="303"/>
      <c r="M1217" s="298" t="s">
        <v>684</v>
      </c>
      <c r="N1217" s="298" t="s">
        <v>48</v>
      </c>
      <c r="O1217" s="298" t="s">
        <v>5512</v>
      </c>
      <c r="P1217" s="298" t="s">
        <v>658</v>
      </c>
      <c r="Q1217" s="298" t="s">
        <v>5513</v>
      </c>
      <c r="R1217" s="298">
        <v>56011</v>
      </c>
      <c r="S1217" s="298">
        <v>44.534066000000003</v>
      </c>
      <c r="T1217" s="298">
        <v>-93.699128999999999</v>
      </c>
      <c r="U1217" s="298" t="s">
        <v>378</v>
      </c>
      <c r="V1217" s="298" t="s">
        <v>1306</v>
      </c>
      <c r="W1217" s="313">
        <v>140000</v>
      </c>
      <c r="AC1217" s="298" t="s">
        <v>120</v>
      </c>
      <c r="AD1217" s="300">
        <f t="shared" si="20"/>
        <v>2026</v>
      </c>
    </row>
    <row r="1218" spans="1:30" s="298" customFormat="1" ht="15.75">
      <c r="A1218" s="298" t="s">
        <v>5446</v>
      </c>
      <c r="B1218" s="299">
        <v>46077</v>
      </c>
      <c r="C1218" s="298" t="s">
        <v>5514</v>
      </c>
      <c r="D1218" s="298" t="s">
        <v>2360</v>
      </c>
      <c r="E1218" s="298" t="s">
        <v>99</v>
      </c>
      <c r="F1218" s="298" t="s">
        <v>34</v>
      </c>
      <c r="G1218" s="298" t="s">
        <v>5515</v>
      </c>
      <c r="H1218" s="298" t="s">
        <v>3231</v>
      </c>
      <c r="I1218" s="309">
        <v>52000000</v>
      </c>
      <c r="J1218" s="303"/>
      <c r="K1218" s="303"/>
      <c r="L1218" s="303"/>
      <c r="M1218" s="307" t="s">
        <v>2109</v>
      </c>
      <c r="N1218" s="307" t="s">
        <v>37</v>
      </c>
      <c r="O1218" s="298" t="s">
        <v>5516</v>
      </c>
      <c r="Q1218" s="314" t="s">
        <v>5517</v>
      </c>
      <c r="R1218" s="298">
        <v>55126</v>
      </c>
      <c r="S1218" s="298">
        <v>45.053319999999999</v>
      </c>
      <c r="T1218" s="298">
        <v>-93.130007000000006</v>
      </c>
      <c r="W1218" s="302"/>
      <c r="AC1218" s="300" t="s">
        <v>51</v>
      </c>
      <c r="AD1218" s="300">
        <f t="shared" si="20"/>
        <v>2026</v>
      </c>
    </row>
    <row r="1219" spans="1:30" s="298" customFormat="1" ht="15.75">
      <c r="A1219" s="298" t="s">
        <v>5446</v>
      </c>
      <c r="B1219" s="299">
        <v>46077</v>
      </c>
      <c r="C1219" s="298" t="s">
        <v>1897</v>
      </c>
      <c r="D1219" s="298" t="s">
        <v>5518</v>
      </c>
      <c r="E1219" s="298" t="s">
        <v>426</v>
      </c>
      <c r="F1219" s="298" t="s">
        <v>34</v>
      </c>
      <c r="G1219" s="298" t="s">
        <v>5519</v>
      </c>
      <c r="H1219" s="298" t="s">
        <v>2708</v>
      </c>
      <c r="I1219" s="304">
        <v>1000000000</v>
      </c>
      <c r="J1219" s="303"/>
      <c r="K1219" s="303"/>
      <c r="L1219" s="303">
        <v>250000</v>
      </c>
      <c r="M1219" s="298" t="s">
        <v>4835</v>
      </c>
      <c r="N1219" s="298" t="s">
        <v>300</v>
      </c>
      <c r="O1219" s="298" t="s">
        <v>5520</v>
      </c>
      <c r="R1219" s="298">
        <v>55963</v>
      </c>
      <c r="S1219" s="298">
        <v>44.201349999999998</v>
      </c>
      <c r="T1219" s="298">
        <v>-92.646299999999997</v>
      </c>
      <c r="W1219" s="302"/>
      <c r="AC1219" s="298" t="s">
        <v>120</v>
      </c>
      <c r="AD1219" s="300">
        <f t="shared" si="20"/>
        <v>2026</v>
      </c>
    </row>
    <row r="1220" spans="1:30" s="298" customFormat="1" ht="16.5" thickBot="1">
      <c r="A1220" s="298" t="s">
        <v>5446</v>
      </c>
      <c r="B1220" s="299">
        <v>46078</v>
      </c>
      <c r="C1220" s="298" t="s">
        <v>5521</v>
      </c>
      <c r="D1220" s="298" t="s">
        <v>1302</v>
      </c>
      <c r="E1220" s="298" t="s">
        <v>66</v>
      </c>
      <c r="F1220" s="298" t="s">
        <v>34</v>
      </c>
      <c r="G1220" s="298" t="s">
        <v>5522</v>
      </c>
      <c r="H1220" s="298" t="s">
        <v>2772</v>
      </c>
      <c r="I1220" s="304"/>
      <c r="J1220" s="303"/>
      <c r="K1220" s="303"/>
      <c r="L1220" s="303">
        <v>37832</v>
      </c>
      <c r="M1220" s="298" t="s">
        <v>5523</v>
      </c>
      <c r="N1220" s="298" t="s">
        <v>48</v>
      </c>
      <c r="Q1220" s="298" t="s">
        <v>5524</v>
      </c>
      <c r="R1220" s="298">
        <v>55427</v>
      </c>
      <c r="S1220" s="298">
        <v>45.003393000000003</v>
      </c>
      <c r="T1220" s="298">
        <v>-93.365706000000003</v>
      </c>
      <c r="W1220" s="302"/>
      <c r="AC1220" s="300" t="s">
        <v>51</v>
      </c>
      <c r="AD1220" s="300">
        <f t="shared" si="20"/>
        <v>2026</v>
      </c>
    </row>
    <row r="1221" spans="1:30" s="298" customFormat="1" ht="15.75">
      <c r="A1221" s="298" t="s">
        <v>5446</v>
      </c>
      <c r="B1221" s="315">
        <v>46084</v>
      </c>
      <c r="C1221" s="298" t="s">
        <v>5525</v>
      </c>
      <c r="D1221" s="298" t="s">
        <v>591</v>
      </c>
      <c r="E1221" s="298" t="s">
        <v>66</v>
      </c>
      <c r="F1221" s="298" t="s">
        <v>34</v>
      </c>
      <c r="G1221" s="298" t="s">
        <v>5526</v>
      </c>
      <c r="H1221" s="298" t="s">
        <v>1359</v>
      </c>
      <c r="I1221" s="309"/>
      <c r="J1221" s="303">
        <v>50</v>
      </c>
      <c r="K1221" s="303"/>
      <c r="L1221" s="303"/>
      <c r="N1221" s="298" t="s">
        <v>762</v>
      </c>
      <c r="O1221" s="298" t="s">
        <v>5527</v>
      </c>
      <c r="Q1221" s="298" t="s">
        <v>5528</v>
      </c>
      <c r="R1221" s="298">
        <v>55305</v>
      </c>
      <c r="S1221" s="298">
        <v>44.972693</v>
      </c>
      <c r="T1221" s="298">
        <v>-93.465474</v>
      </c>
      <c r="W1221" s="308"/>
      <c r="AC1221" s="300" t="s">
        <v>51</v>
      </c>
      <c r="AD1221" s="300">
        <f t="shared" si="20"/>
        <v>2026</v>
      </c>
    </row>
    <row r="1222" spans="1:30" s="298" customFormat="1" ht="15.75">
      <c r="A1222" s="298" t="s">
        <v>5446</v>
      </c>
      <c r="B1222" s="316">
        <v>46084</v>
      </c>
      <c r="C1222" s="310" t="s">
        <v>1897</v>
      </c>
      <c r="D1222" s="298" t="s">
        <v>1068</v>
      </c>
      <c r="E1222" s="298" t="s">
        <v>4447</v>
      </c>
      <c r="F1222" s="298" t="s">
        <v>34</v>
      </c>
      <c r="G1222" s="298" t="s">
        <v>5529</v>
      </c>
      <c r="H1222" s="298" t="s">
        <v>2708</v>
      </c>
      <c r="I1222" s="304">
        <v>1000000000</v>
      </c>
      <c r="J1222" s="303"/>
      <c r="K1222" s="303"/>
      <c r="L1222" s="303">
        <v>1800000</v>
      </c>
      <c r="M1222" s="298" t="s">
        <v>4835</v>
      </c>
      <c r="N1222" s="298" t="s">
        <v>300</v>
      </c>
      <c r="O1222" s="298" t="s">
        <v>5530</v>
      </c>
      <c r="Q1222" s="298" t="s">
        <v>5531</v>
      </c>
      <c r="R1222" s="298">
        <v>55810</v>
      </c>
      <c r="S1222" s="298">
        <v>46.70505</v>
      </c>
      <c r="T1222" s="298">
        <v>-92.277913999999996</v>
      </c>
      <c r="W1222" s="302"/>
      <c r="AC1222" s="298" t="s">
        <v>97</v>
      </c>
      <c r="AD1222" s="300">
        <f t="shared" si="20"/>
        <v>2026</v>
      </c>
    </row>
    <row r="1223" spans="1:30" s="298" customFormat="1" ht="16.5" customHeight="1">
      <c r="A1223" s="298" t="s">
        <v>5446</v>
      </c>
      <c r="B1223" s="299">
        <v>46090</v>
      </c>
      <c r="C1223" s="298" t="s">
        <v>5532</v>
      </c>
      <c r="D1223" s="298" t="s">
        <v>5533</v>
      </c>
      <c r="E1223" s="298" t="s">
        <v>66</v>
      </c>
      <c r="F1223" s="298" t="s">
        <v>34</v>
      </c>
      <c r="G1223" s="298" t="s">
        <v>5534</v>
      </c>
      <c r="I1223" s="309"/>
      <c r="M1223" s="298" t="s">
        <v>5535</v>
      </c>
      <c r="N1223" s="298" t="s">
        <v>77</v>
      </c>
      <c r="O1223" s="298" t="s">
        <v>5536</v>
      </c>
      <c r="Q1223" s="298" t="s">
        <v>5537</v>
      </c>
      <c r="R1223" s="298">
        <v>56308</v>
      </c>
      <c r="S1223" s="298">
        <v>45.860011</v>
      </c>
      <c r="T1223" s="298">
        <v>-95.382126</v>
      </c>
      <c r="W1223" s="308"/>
      <c r="AC1223" s="298" t="s">
        <v>51</v>
      </c>
      <c r="AD1223" s="300">
        <f t="shared" si="20"/>
        <v>2026</v>
      </c>
    </row>
    <row r="1224" spans="1:30" s="298" customFormat="1" ht="15.75">
      <c r="A1224" s="298" t="s">
        <v>5446</v>
      </c>
      <c r="B1224" s="299">
        <v>46097</v>
      </c>
      <c r="C1224" s="312" t="s">
        <v>5538</v>
      </c>
      <c r="D1224" s="312" t="s">
        <v>276</v>
      </c>
      <c r="E1224" s="298" t="s">
        <v>277</v>
      </c>
      <c r="F1224" s="298" t="s">
        <v>34</v>
      </c>
      <c r="G1224" s="298" t="s">
        <v>5539</v>
      </c>
      <c r="H1224" s="298" t="s">
        <v>2214</v>
      </c>
      <c r="I1224" s="301">
        <v>4650000</v>
      </c>
      <c r="J1224" s="303">
        <v>14</v>
      </c>
      <c r="K1224" s="303"/>
      <c r="L1224" s="303"/>
      <c r="M1224" s="298" t="s">
        <v>5540</v>
      </c>
      <c r="N1224" s="307" t="s">
        <v>103</v>
      </c>
      <c r="O1224" s="298" t="s">
        <v>5512</v>
      </c>
      <c r="P1224" s="298" t="s">
        <v>658</v>
      </c>
      <c r="Q1224" s="298" t="s">
        <v>5541</v>
      </c>
      <c r="R1224" s="298">
        <v>56601</v>
      </c>
      <c r="S1224" s="298">
        <v>47.479934999999998</v>
      </c>
      <c r="T1224" s="298">
        <v>-94.927334999999999</v>
      </c>
      <c r="U1224" s="298" t="s">
        <v>378</v>
      </c>
      <c r="V1224" s="298" t="s">
        <v>1306</v>
      </c>
      <c r="W1224" s="317">
        <v>175000</v>
      </c>
      <c r="AC1224" s="298" t="s">
        <v>97</v>
      </c>
      <c r="AD1224" s="300">
        <f t="shared" si="20"/>
        <v>2026</v>
      </c>
    </row>
    <row r="1225" spans="1:30" s="298" customFormat="1" ht="15.75">
      <c r="A1225" s="298" t="s">
        <v>5446</v>
      </c>
      <c r="B1225" s="299">
        <v>46097</v>
      </c>
      <c r="C1225" s="298" t="s">
        <v>5542</v>
      </c>
      <c r="D1225" s="298" t="s">
        <v>408</v>
      </c>
      <c r="E1225" s="298" t="s">
        <v>99</v>
      </c>
      <c r="F1225" s="298" t="s">
        <v>34</v>
      </c>
      <c r="G1225" s="298" t="s">
        <v>5543</v>
      </c>
      <c r="H1225" s="298" t="s">
        <v>2108</v>
      </c>
      <c r="I1225" s="303"/>
      <c r="J1225" s="303"/>
      <c r="K1225" s="303"/>
      <c r="L1225" s="303">
        <v>189600</v>
      </c>
      <c r="M1225" s="307" t="s">
        <v>2109</v>
      </c>
      <c r="N1225" s="307" t="s">
        <v>37</v>
      </c>
      <c r="O1225" s="298" t="s">
        <v>5544</v>
      </c>
      <c r="Q1225" s="298" t="s">
        <v>5545</v>
      </c>
      <c r="R1225" s="298">
        <v>55109</v>
      </c>
      <c r="S1225" s="298">
        <v>45.028514000000001</v>
      </c>
      <c r="T1225" s="298">
        <v>-93.033973000000003</v>
      </c>
      <c r="W1225" s="302"/>
      <c r="AC1225" s="300" t="s">
        <v>51</v>
      </c>
      <c r="AD1225" s="300">
        <f t="shared" si="20"/>
        <v>2026</v>
      </c>
    </row>
    <row r="1226" spans="1:30" s="298" customFormat="1" ht="15.75">
      <c r="A1226" s="298" t="s">
        <v>5446</v>
      </c>
      <c r="B1226" s="299">
        <v>46097</v>
      </c>
      <c r="C1226" s="312" t="s">
        <v>5546</v>
      </c>
      <c r="D1226" s="312" t="s">
        <v>728</v>
      </c>
      <c r="E1226" s="298" t="s">
        <v>395</v>
      </c>
      <c r="F1226" s="298" t="s">
        <v>34</v>
      </c>
      <c r="G1226" s="298" t="s">
        <v>5547</v>
      </c>
      <c r="H1226" s="298" t="s">
        <v>131</v>
      </c>
      <c r="I1226" s="301">
        <v>6200000</v>
      </c>
      <c r="J1226" s="298">
        <v>30</v>
      </c>
      <c r="K1226" s="298">
        <v>100</v>
      </c>
      <c r="L1226" s="298">
        <v>45000</v>
      </c>
      <c r="M1226" s="298" t="s">
        <v>574</v>
      </c>
      <c r="N1226" s="298" t="s">
        <v>48</v>
      </c>
      <c r="O1226" s="298" t="s">
        <v>114</v>
      </c>
      <c r="P1226" s="298" t="s">
        <v>658</v>
      </c>
      <c r="Q1226" s="298" t="s">
        <v>5548</v>
      </c>
      <c r="R1226" s="298">
        <v>55330</v>
      </c>
      <c r="S1226" s="298">
        <v>45.289940000000001</v>
      </c>
      <c r="T1226" s="298">
        <v>-93.545328999999995</v>
      </c>
      <c r="U1226" s="298" t="s">
        <v>378</v>
      </c>
      <c r="V1226" s="298" t="s">
        <v>5549</v>
      </c>
      <c r="W1226" s="317">
        <f>175000+92000+150000</f>
        <v>417000</v>
      </c>
      <c r="AC1226" s="298" t="s">
        <v>41</v>
      </c>
      <c r="AD1226" s="300">
        <f t="shared" si="20"/>
        <v>2026</v>
      </c>
    </row>
    <row r="1227" spans="1:30" s="298" customFormat="1" ht="15.75">
      <c r="A1227" s="298" t="s">
        <v>5446</v>
      </c>
      <c r="B1227" s="299">
        <v>46100</v>
      </c>
      <c r="C1227" s="298" t="s">
        <v>5550</v>
      </c>
      <c r="D1227" s="298" t="s">
        <v>1007</v>
      </c>
      <c r="E1227" s="298" t="s">
        <v>677</v>
      </c>
      <c r="F1227" s="298" t="s">
        <v>34</v>
      </c>
      <c r="G1227" s="298" t="s">
        <v>5551</v>
      </c>
      <c r="H1227" s="298" t="s">
        <v>5552</v>
      </c>
      <c r="I1227" s="303"/>
      <c r="J1227" s="303"/>
      <c r="K1227" s="303">
        <v>40</v>
      </c>
      <c r="L1227" s="303">
        <v>53000</v>
      </c>
      <c r="N1227" s="298" t="s">
        <v>5553</v>
      </c>
      <c r="O1227" s="298" t="s">
        <v>5554</v>
      </c>
      <c r="Q1227" s="298" t="s">
        <v>5555</v>
      </c>
      <c r="R1227" s="298">
        <v>55449</v>
      </c>
      <c r="S1227" s="298">
        <v>45.163111999999998</v>
      </c>
      <c r="T1227" s="298">
        <v>-93.164831000000007</v>
      </c>
      <c r="W1227" s="302"/>
      <c r="AC1227" s="300" t="s">
        <v>51</v>
      </c>
      <c r="AD1227" s="300">
        <f t="shared" si="20"/>
        <v>2026</v>
      </c>
    </row>
    <row r="1228" spans="1:30" s="298" customFormat="1" ht="15.75">
      <c r="A1228" s="298" t="s">
        <v>5446</v>
      </c>
      <c r="B1228" s="299">
        <v>46100</v>
      </c>
      <c r="C1228" s="298" t="s">
        <v>5556</v>
      </c>
      <c r="D1228" s="298" t="s">
        <v>65</v>
      </c>
      <c r="E1228" s="298" t="s">
        <v>66</v>
      </c>
      <c r="F1228" s="298" t="s">
        <v>34</v>
      </c>
      <c r="G1228" s="298" t="s">
        <v>5557</v>
      </c>
      <c r="I1228" s="301"/>
      <c r="M1228" s="298" t="s">
        <v>1636</v>
      </c>
      <c r="N1228" s="298" t="s">
        <v>140</v>
      </c>
      <c r="O1228" s="298" t="s">
        <v>5558</v>
      </c>
      <c r="Q1228" s="298" t="s">
        <v>5559</v>
      </c>
      <c r="R1228" s="298">
        <v>55415</v>
      </c>
      <c r="S1228" s="298">
        <v>44.974398000000001</v>
      </c>
      <c r="T1228" s="298">
        <v>-93.263240999999994</v>
      </c>
      <c r="AC1228" s="300" t="s">
        <v>51</v>
      </c>
      <c r="AD1228" s="300">
        <f t="shared" si="20"/>
        <v>2026</v>
      </c>
    </row>
    <row r="1229" spans="1:30" s="298" customFormat="1" ht="15.75">
      <c r="A1229" s="298" t="s">
        <v>5446</v>
      </c>
      <c r="B1229" s="299">
        <v>46100</v>
      </c>
      <c r="C1229" s="298" t="s">
        <v>5560</v>
      </c>
      <c r="D1229" s="298" t="s">
        <v>270</v>
      </c>
      <c r="E1229" s="298" t="s">
        <v>99</v>
      </c>
      <c r="F1229" s="298" t="s">
        <v>34</v>
      </c>
      <c r="G1229" s="298" t="s">
        <v>5561</v>
      </c>
      <c r="I1229" s="303"/>
      <c r="J1229" s="303"/>
      <c r="K1229" s="303"/>
      <c r="L1229" s="303"/>
      <c r="M1229" s="298" t="s">
        <v>5459</v>
      </c>
      <c r="N1229" s="298" t="s">
        <v>48</v>
      </c>
      <c r="O1229" s="298" t="s">
        <v>5562</v>
      </c>
      <c r="P1229" s="298" t="s">
        <v>5563</v>
      </c>
      <c r="Q1229" s="298" t="s">
        <v>5564</v>
      </c>
      <c r="R1229" s="298">
        <v>56138</v>
      </c>
      <c r="S1229" s="298">
        <v>43.525185</v>
      </c>
      <c r="T1229" s="298">
        <v>-96.358365000000006</v>
      </c>
      <c r="W1229" s="302"/>
      <c r="AC1229" s="298" t="s">
        <v>51</v>
      </c>
      <c r="AD1229" s="300">
        <f t="shared" si="20"/>
        <v>2026</v>
      </c>
    </row>
    <row r="1230" spans="1:30" s="298" customFormat="1" ht="15.75">
      <c r="A1230" s="298" t="s">
        <v>5446</v>
      </c>
      <c r="B1230" s="299">
        <v>46101</v>
      </c>
      <c r="C1230" s="312" t="s">
        <v>5565</v>
      </c>
      <c r="D1230" s="312" t="s">
        <v>505</v>
      </c>
      <c r="E1230" s="298" t="s">
        <v>335</v>
      </c>
      <c r="F1230" s="298" t="s">
        <v>34</v>
      </c>
      <c r="G1230" s="298" t="s">
        <v>5566</v>
      </c>
      <c r="H1230" s="298" t="s">
        <v>2214</v>
      </c>
      <c r="I1230" s="301">
        <v>1843540.92</v>
      </c>
      <c r="J1230" s="298">
        <v>32</v>
      </c>
      <c r="M1230" s="298" t="s">
        <v>5567</v>
      </c>
      <c r="N1230" s="298" t="s">
        <v>77</v>
      </c>
      <c r="O1230" s="298" t="s">
        <v>5512</v>
      </c>
      <c r="P1230" s="298" t="s">
        <v>658</v>
      </c>
      <c r="R1230" s="298">
        <v>55379</v>
      </c>
      <c r="S1230" s="298">
        <v>44.798609999999996</v>
      </c>
      <c r="T1230" s="298">
        <v>-93.519440000000003</v>
      </c>
      <c r="U1230" s="298" t="s">
        <v>378</v>
      </c>
      <c r="V1230" s="298" t="s">
        <v>1306</v>
      </c>
      <c r="W1230" s="308">
        <v>175000</v>
      </c>
      <c r="AC1230" s="300" t="s">
        <v>51</v>
      </c>
      <c r="AD1230" s="300">
        <f t="shared" si="20"/>
        <v>2026</v>
      </c>
    </row>
    <row r="1231" spans="1:30" s="298" customFormat="1" ht="15.75">
      <c r="A1231" s="298" t="s">
        <v>5446</v>
      </c>
      <c r="B1231" s="299">
        <v>46108</v>
      </c>
      <c r="C1231" s="298" t="s">
        <v>5568</v>
      </c>
      <c r="D1231" s="298" t="s">
        <v>591</v>
      </c>
      <c r="E1231" s="298" t="s">
        <v>66</v>
      </c>
      <c r="F1231" s="298" t="s">
        <v>34</v>
      </c>
      <c r="G1231" s="298" t="s">
        <v>5569</v>
      </c>
      <c r="I1231" s="309"/>
      <c r="J1231" s="303">
        <v>15</v>
      </c>
      <c r="K1231" s="303"/>
      <c r="L1231" s="303"/>
      <c r="M1231" s="298" t="s">
        <v>5459</v>
      </c>
      <c r="N1231" s="298" t="s">
        <v>48</v>
      </c>
      <c r="O1231" s="298" t="s">
        <v>5570</v>
      </c>
      <c r="Q1231" s="298" t="s">
        <v>5571</v>
      </c>
      <c r="R1231" s="298">
        <v>55305</v>
      </c>
      <c r="S1231" s="298">
        <v>44.977756999999997</v>
      </c>
      <c r="T1231" s="298">
        <v>-93.458518999999995</v>
      </c>
      <c r="W1231" s="302"/>
      <c r="AC1231" s="300" t="s">
        <v>51</v>
      </c>
      <c r="AD1231" s="300">
        <f t="shared" si="20"/>
        <v>2026</v>
      </c>
    </row>
    <row r="1232" spans="1:30">
      <c r="C1232" s="285"/>
    </row>
    <row r="1233" spans="3:3">
      <c r="C1233" s="285"/>
    </row>
    <row r="1234" spans="3:3">
      <c r="C1234" s="285"/>
    </row>
    <row r="1235" spans="3:3">
      <c r="C1235" s="285"/>
    </row>
    <row r="1236" spans="3:3">
      <c r="C1236" s="285"/>
    </row>
    <row r="1237" spans="3:3">
      <c r="C1237" s="285"/>
    </row>
    <row r="1238" spans="3:3">
      <c r="C1238" s="285"/>
    </row>
    <row r="1239" spans="3:3">
      <c r="C1239" s="285"/>
    </row>
    <row r="1240" spans="3:3">
      <c r="C1240" s="285"/>
    </row>
    <row r="1241" spans="3:3">
      <c r="C1241" s="285"/>
    </row>
    <row r="1242" spans="3:3">
      <c r="C1242" s="285"/>
    </row>
    <row r="1243" spans="3:3">
      <c r="C1243" s="285"/>
    </row>
    <row r="1244" spans="3:3">
      <c r="C1244" s="285"/>
    </row>
    <row r="1245" spans="3:3">
      <c r="C1245" s="285"/>
    </row>
    <row r="1246" spans="3:3">
      <c r="C1246" s="285"/>
    </row>
    <row r="1247" spans="3:3">
      <c r="C1247" s="286"/>
    </row>
    <row r="1248" spans="3:3">
      <c r="C1248" s="285"/>
    </row>
    <row r="1249" spans="3:3">
      <c r="C1249" s="285"/>
    </row>
    <row r="1250" spans="3:3">
      <c r="C1250" s="285"/>
    </row>
  </sheetData>
  <autoFilter ref="A1:AE1231" xr:uid="{00000000-0001-0000-0000-000000000000}">
    <filterColumn colId="0">
      <filters>
        <filter val="2026-Q1"/>
      </filters>
    </filterColumn>
    <sortState xmlns:xlrd2="http://schemas.microsoft.com/office/spreadsheetml/2017/richdata2" ref="A1079:AE1200">
      <sortCondition descending="1" ref="I1079:I1200"/>
    </sortState>
  </autoFilter>
  <sortState xmlns:xlrd2="http://schemas.microsoft.com/office/spreadsheetml/2017/richdata2" ref="A848:R953">
    <sortCondition ref="B2:B953"/>
    <sortCondition ref="C2:C953"/>
  </sortState>
  <conditionalFormatting sqref="C1216">
    <cfRule type="duplicateValues" dxfId="29" priority="3"/>
  </conditionalFormatting>
  <conditionalFormatting sqref="C1217">
    <cfRule type="duplicateValues" dxfId="28" priority="5"/>
  </conditionalFormatting>
  <conditionalFormatting sqref="C1218">
    <cfRule type="duplicateValues" dxfId="27" priority="4"/>
  </conditionalFormatting>
  <conditionalFormatting sqref="C1221">
    <cfRule type="duplicateValues" dxfId="26" priority="2"/>
  </conditionalFormatting>
  <conditionalFormatting sqref="C1222">
    <cfRule type="duplicateValues" dxfId="25" priority="9"/>
  </conditionalFormatting>
  <conditionalFormatting sqref="F887">
    <cfRule type="duplicateValues" dxfId="24" priority="95"/>
  </conditionalFormatting>
  <conditionalFormatting sqref="F933">
    <cfRule type="duplicateValues" dxfId="23" priority="92"/>
  </conditionalFormatting>
  <conditionalFormatting sqref="I1103">
    <cfRule type="duplicateValues" dxfId="22" priority="30"/>
  </conditionalFormatting>
  <conditionalFormatting sqref="J477:K477 J500:K501">
    <cfRule type="cellIs" dxfId="21" priority="196" operator="lessThan">
      <formula>0</formula>
    </cfRule>
  </conditionalFormatting>
  <conditionalFormatting sqref="J481:K483">
    <cfRule type="cellIs" dxfId="20" priority="195" operator="lessThan">
      <formula>0</formula>
    </cfRule>
  </conditionalFormatting>
  <conditionalFormatting sqref="J707:K708">
    <cfRule type="cellIs" dxfId="19" priority="143" operator="lessThan">
      <formula>0</formula>
    </cfRule>
  </conditionalFormatting>
  <conditionalFormatting sqref="J554:L554">
    <cfRule type="cellIs" dxfId="18" priority="185" operator="lessThan">
      <formula>0</formula>
    </cfRule>
  </conditionalFormatting>
  <conditionalFormatting sqref="M1162">
    <cfRule type="containsText" dxfId="17" priority="25" operator="containsText" text="y">
      <formula>NOT(ISERROR(SEARCH("y",M1162)))</formula>
    </cfRule>
  </conditionalFormatting>
  <conditionalFormatting sqref="O854">
    <cfRule type="duplicateValues" dxfId="16" priority="97"/>
  </conditionalFormatting>
  <conditionalFormatting sqref="O855">
    <cfRule type="duplicateValues" dxfId="15" priority="96"/>
  </conditionalFormatting>
  <conditionalFormatting sqref="O1079">
    <cfRule type="duplicateValues" dxfId="14" priority="32"/>
  </conditionalFormatting>
  <conditionalFormatting sqref="Y635">
    <cfRule type="duplicateValues" dxfId="13" priority="148"/>
  </conditionalFormatting>
  <conditionalFormatting sqref="Y779">
    <cfRule type="duplicateValues" dxfId="12" priority="117"/>
  </conditionalFormatting>
  <conditionalFormatting sqref="Y825">
    <cfRule type="duplicateValues" dxfId="11" priority="103"/>
  </conditionalFormatting>
  <conditionalFormatting sqref="AE1201:AE1202">
    <cfRule type="duplicateValues" dxfId="10" priority="10"/>
  </conditionalFormatting>
  <conditionalFormatting sqref="AE1203:AE1231">
    <cfRule type="duplicateValues" dxfId="9" priority="1"/>
  </conditionalFormatting>
  <conditionalFormatting sqref="AF1228 AF1203:AF1205">
    <cfRule type="duplicateValues" dxfId="8" priority="6"/>
    <cfRule type="duplicateValues" dxfId="7" priority="7"/>
  </conditionalFormatting>
  <conditionalFormatting sqref="AQ1170">
    <cfRule type="duplicateValues" dxfId="6" priority="13"/>
    <cfRule type="duplicateValues" dxfId="5" priority="14"/>
  </conditionalFormatting>
  <conditionalFormatting sqref="AQ1171:AQ1200">
    <cfRule type="duplicateValues" dxfId="4" priority="199"/>
  </conditionalFormatting>
  <conditionalFormatting sqref="AQ1195:AQ1199">
    <cfRule type="duplicateValues" dxfId="3" priority="19"/>
  </conditionalFormatting>
  <conditionalFormatting sqref="AQ1196:AQ1200 AQ1171:AQ1194">
    <cfRule type="duplicateValues" dxfId="2" priority="17"/>
  </conditionalFormatting>
  <hyperlinks>
    <hyperlink ref="O327" r:id="rId1" xr:uid="{8D0E2245-56D5-4854-90F1-BB3F882643F2}"/>
    <hyperlink ref="O241" r:id="rId2" xr:uid="{1F5D42A4-6AE5-443F-A85A-999F1350D874}"/>
    <hyperlink ref="O258" r:id="rId3" xr:uid="{B547CC99-94FD-4896-9C3E-B044E33753FD}"/>
    <hyperlink ref="O273" r:id="rId4" xr:uid="{52EF90FD-2B25-4308-BEA5-83D0652CE608}"/>
    <hyperlink ref="O296" r:id="rId5" xr:uid="{1EEBF5A2-6749-4E96-9FAB-1DAFA2D7FEA6}"/>
    <hyperlink ref="O310" r:id="rId6" xr:uid="{2A8FC303-DEEB-42D3-BC17-D3F5AB83DB1D}"/>
    <hyperlink ref="O352" r:id="rId7" xr:uid="{B968A45D-5576-4AFE-93CB-568D948047CB}"/>
    <hyperlink ref="O395" r:id="rId8" xr:uid="{218641C7-DA3C-4E59-88BA-732A46BB24BA}"/>
    <hyperlink ref="O413" r:id="rId9" xr:uid="{6429BE49-8C18-4506-A30D-868C1AE2E6BE}"/>
    <hyperlink ref="O247" r:id="rId10" xr:uid="{73B01C7B-AF3E-42AD-B887-40E48EA172D1}"/>
    <hyperlink ref="O261" r:id="rId11" xr:uid="{797C2BC2-6A62-4D08-8655-EDE3CED63600}"/>
    <hyperlink ref="O264" r:id="rId12" xr:uid="{A182939F-BA2C-4D44-A023-93FB4F830107}"/>
    <hyperlink ref="O275" r:id="rId13" xr:uid="{D1838F55-7919-4E23-AF6B-7EF55A097BA2}"/>
    <hyperlink ref="O279" r:id="rId14" xr:uid="{09F3E8DD-6E83-4A9D-900C-C5B2E35446BF}"/>
    <hyperlink ref="O265" r:id="rId15" xr:uid="{814CBF17-78AD-43E0-ADDE-53B68AD6D363}"/>
    <hyperlink ref="O289" r:id="rId16" xr:uid="{04E260C7-1186-432B-BAFE-E6449BFE881B}"/>
    <hyperlink ref="O293" r:id="rId17" xr:uid="{B8C2553F-7187-4FB4-A296-ABF5CB5A6958}"/>
    <hyperlink ref="O385" r:id="rId18" xr:uid="{24F5D2A0-75DC-4CA6-95E3-5209A19FD62E}"/>
    <hyperlink ref="O309" r:id="rId19" xr:uid="{0CD38B43-185F-4F3F-BC22-BEEE4E7265C5}"/>
    <hyperlink ref="O371" r:id="rId20" xr:uid="{B09CCD38-4276-4D27-A898-0C9CC755EF03}"/>
    <hyperlink ref="O392" r:id="rId21" xr:uid="{99D5703F-2B8F-49CF-8521-5EDB44072B21}"/>
    <hyperlink ref="O405" r:id="rId22" xr:uid="{F534013A-5748-4579-B74B-C829D01B17F1}"/>
    <hyperlink ref="O407" r:id="rId23" xr:uid="{52AAF578-0A86-4D82-A75E-AE7DF0FBAF02}"/>
    <hyperlink ref="O249" r:id="rId24" xr:uid="{4A003033-F64A-46BF-A161-4F404F3BACD1}"/>
    <hyperlink ref="O251" r:id="rId25" xr:uid="{35B306C7-3244-4D38-BA99-F12D0CE28771}"/>
    <hyperlink ref="O250" r:id="rId26" xr:uid="{A8D72ABA-AFE5-40E9-A543-B7B6AD3E73EE}"/>
    <hyperlink ref="O263" r:id="rId27" xr:uid="{42E04A28-CD81-4F01-94E6-364C985C205F}"/>
    <hyperlink ref="O268" r:id="rId28" xr:uid="{EFCF3F4E-075B-4FA8-919E-92AD5BC39B1D}"/>
    <hyperlink ref="O276" r:id="rId29" xr:uid="{5AAE43F3-8256-44BC-A40A-87F03CAA5F7F}"/>
    <hyperlink ref="O266" r:id="rId30" xr:uid="{211E226A-CCEB-44C0-93F9-FE935CD2CE61}"/>
    <hyperlink ref="O246" r:id="rId31" xr:uid="{594E4143-1BEB-4928-BB19-558CDFA4A158}"/>
    <hyperlink ref="O232" r:id="rId32" xr:uid="{51243DB7-13BA-486D-824B-8D4BCC8D3828}"/>
    <hyperlink ref="O396" r:id="rId33" location="/detail/appId/1/id/409143" display="https://mn.gov/deed/newscenter/press-releases/?id=410709 - /detail/appId/1/id/409143" xr:uid="{4C61BC73-E7FD-41C3-B73A-3E8707E702DE}"/>
    <hyperlink ref="O287" r:id="rId34" xr:uid="{9629EC5E-D947-4E1E-A88C-D6421B612DC9}"/>
    <hyperlink ref="O408" r:id="rId35" xr:uid="{DEFAA78E-1AC1-4DC6-9ABE-26CF9866B1DA}"/>
    <hyperlink ref="O455" r:id="rId36" xr:uid="{C9687DAE-B583-42BA-B81D-6310F8DE0ADC}"/>
    <hyperlink ref="O456" r:id="rId37" xr:uid="{4987385A-8917-4739-B980-309951731F0A}"/>
    <hyperlink ref="O459" r:id="rId38" xr:uid="{2919C0CE-A3B6-44F6-A8D0-19F8F66CF890}"/>
    <hyperlink ref="O461" r:id="rId39" xr:uid="{41146BD6-D737-4A57-96AC-50E14AA1CCD7}"/>
    <hyperlink ref="O460" r:id="rId40" xr:uid="{15BCDFA9-3E56-4AB0-AD72-F721F3FCCC4F}"/>
    <hyperlink ref="O457" r:id="rId41" xr:uid="{DC0F18BA-74CB-4275-A668-4BA33BBF6245}"/>
    <hyperlink ref="O467" r:id="rId42" xr:uid="{091B125F-C94D-44C1-B1AA-92BFC049C186}"/>
    <hyperlink ref="O469" r:id="rId43" xr:uid="{82E9EEC1-4908-4B14-9EB5-15549EC1E8B2}"/>
    <hyperlink ref="O466" r:id="rId44" xr:uid="{19D67D86-FDE1-4975-9ECF-51E333AEA8C5}"/>
    <hyperlink ref="O464" r:id="rId45" xr:uid="{9980847F-1623-4A07-B4CE-8835D0219A24}"/>
    <hyperlink ref="O462" r:id="rId46" xr:uid="{9691A442-985F-4418-A2E2-B7C5082F61EF}"/>
    <hyperlink ref="O473" r:id="rId47" xr:uid="{F6C5865A-8D63-4A1C-8B1D-16BDB7107206}"/>
    <hyperlink ref="O470" r:id="rId48" xr:uid="{C850D2EF-C4D9-4F34-8AF3-521FEB913C44}"/>
    <hyperlink ref="O472" r:id="rId49" location="/detail/appId/1/id/431748" display="https://mn.gov/deed/newscenter/press-releases/?id=432987 - /detail/appId/1/id/431748" xr:uid="{87DCDDA2-FED8-4CEA-8867-7801B20D81E6}"/>
    <hyperlink ref="O471" r:id="rId50" location="/detail/appId/1/id/431748" display="https://mn.gov/deed/newscenter/press-releases/?id=432987 - /detail/appId/1/id/431748" xr:uid="{F4B14FAE-48C2-462F-BBE3-E82D48A4A372}"/>
    <hyperlink ref="O476" r:id="rId51" xr:uid="{B101398B-D09B-4D41-819C-6391CD09D617}"/>
    <hyperlink ref="O483" r:id="rId52" xr:uid="{A8357C60-1068-41C7-95B3-4FB211E01980}"/>
    <hyperlink ref="O484" r:id="rId53" xr:uid="{E0DC0F59-46EC-4708-A0F4-E384A5A1F3D5}"/>
    <hyperlink ref="O492" r:id="rId54" xr:uid="{CE19DC7D-E363-4BB8-B725-BEE909F18F16}"/>
    <hyperlink ref="O468:O476" r:id="rId55" display="https://www.bloomingtonmn.gov/bldg/permit-status-inspection-results-monthly-building-reports" xr:uid="{1D7DC9A9-3701-4B6A-9426-B2B870228658}"/>
    <hyperlink ref="O468" r:id="rId56" display="https://www.sctimes.com/story/money/business/2020/05/01/microbiologics-expands-make-room-work-supporting-personalized-medicine-st-cloud/3039475001/?utm_source=sctimes-Daily%20Briefing&amp;utm_medium=email&amp;utm_campaign=daily_briefing&amp;utm_term=list_article_thumb" xr:uid="{F5DEE33C-C435-4971-A0F5-3AFCDBCDECA8}"/>
    <hyperlink ref="O458" r:id="rId57" xr:uid="{14D27BF8-1108-4135-9B07-C6595FC25AD0}"/>
    <hyperlink ref="O474" r:id="rId58" display="https://gcc01.safelinks.protection.outlook.com/?url=http%3A%2F%2Fstrib.mn%2F3cj96AZ&amp;data=02%7C01%7Cthu-mai.ho-kim%40state.mn.us%7Ccd8563ba98f14c834e9808d817ca1290%7Ceb14b04624c445198f26b89c2159828c%7C0%7C0%7C637285503953117272&amp;sdata=8R7i4uGe5%2FviqJDCtbgAS5oClVbIzwMg6OjJVc%2Fe1ZA%3D&amp;reserved=0" xr:uid="{A663441D-8559-46C0-A4EC-A93B5EA2E970}"/>
    <hyperlink ref="O488" r:id="rId59" xr:uid="{5C5A5361-EE59-43CE-BC5E-1B6FFF4681D9}"/>
    <hyperlink ref="O485" r:id="rId60" xr:uid="{8A555361-4F35-49EF-9C9E-3D83B9C2F2EA}"/>
    <hyperlink ref="O491" r:id="rId61" xr:uid="{4F632BFE-011A-4BF7-960C-7BDDADDC7009}"/>
    <hyperlink ref="O465" r:id="rId62" xr:uid="{68938AD3-2685-4733-AFEA-90389EBDC208}"/>
    <hyperlink ref="O475" r:id="rId63" xr:uid="{62DFD106-AF4D-488C-A5E8-E81DE9274C5A}"/>
    <hyperlink ref="O478" r:id="rId64" location=":~:text=3%3A00pm%20CDT-,Downtown%20St.,in%20the%20Osborn%20370%20tower.&amp;text=The%20Osborn%20370%20building%20is,by%20PAK%20Properties%20of%20St." display="https://www.bizjournals.com/twincities/news/2020/06/09/maurices-st-paul-tech-office-osborn-370-tower.html - :~:text=3%3A00pm%20CDT-,Downtown%20St.,in%20the%20Osborn%20370%20tower.&amp;text=The%20Osborn%20370%20building%20is,by%20PAK%20Properties%20of%20St." xr:uid="{152805DE-FE92-407F-88FE-E8C2D99B78C8}"/>
    <hyperlink ref="O479" r:id="rId65" location=":~:text=A%20growing%20health%20care%20software,tower%20at%20370%20Wabasha%20St." display="https://www.bizjournals.com/twincities/news/2020/06/10/utah-health-tech-company-opening-st-paul.html - :~:text=A%20growing%20health%20care%20software,tower%20at%20370%20Wabasha%20St." xr:uid="{77CADBC8-EA54-412D-B7B6-F3E352FC4B89}"/>
    <hyperlink ref="O425" r:id="rId66" xr:uid="{8564BAEF-E2EF-46EB-A05D-E98973C01920}"/>
    <hyperlink ref="O432" r:id="rId67" xr:uid="{6F9A67A9-DC25-468B-9E7D-A3E393E36A92}"/>
    <hyperlink ref="O453" r:id="rId68" xr:uid="{BF9E893C-9B8A-43B9-9B23-2B11A1E4B840}"/>
    <hyperlink ref="O321" r:id="rId69" xr:uid="{36EE9130-E63B-4F7C-8D14-85565B28BEDC}"/>
    <hyperlink ref="O372" r:id="rId70" xr:uid="{04FF2B81-CA28-4A5E-A026-5C76923F87D7}"/>
    <hyperlink ref="O507" r:id="rId71" xr:uid="{B612BDA1-B59B-4216-A769-AD96B77E10BC}"/>
    <hyperlink ref="O508" r:id="rId72" xr:uid="{17BCF9CE-4A2E-4D91-8F1B-2E12D4CA473F}"/>
    <hyperlink ref="O506" r:id="rId73" xr:uid="{EC8CB108-3E41-4A55-8878-DAE6BB2725EA}"/>
    <hyperlink ref="O502" r:id="rId74" xr:uid="{7C7536A4-F036-4CC8-AEAE-A67F733A0DEB}"/>
    <hyperlink ref="O498" r:id="rId75" xr:uid="{77E36C37-3573-4188-ADFB-CD6107D9BADF}"/>
    <hyperlink ref="O496" r:id="rId76" location="/detail/appId/1/id/439491" display="https://mn.gov/deed/newscenter/press-releases/ - /detail/appId/1/id/439491" xr:uid="{79C46E8E-8174-4EE2-A423-35D44F000A42}"/>
    <hyperlink ref="O495" r:id="rId77" location="/detail/appId/1/id/439491" display="https://mn.gov/deed/newscenter/press-releases/ - /detail/appId/1/id/439491" xr:uid="{1E043F9A-4F62-4FE5-A2B6-F6A8A45C72EE}"/>
    <hyperlink ref="O509" r:id="rId78" xr:uid="{2042D78C-AC99-4DF5-BE5F-8DF7894AEF32}"/>
    <hyperlink ref="O494" r:id="rId79" xr:uid="{291B09F5-47E3-4FAA-B3DF-75F9F962C197}"/>
    <hyperlink ref="O497" r:id="rId80" display="https://www.bizjournals.com/twincities/news/2020/07/10/revol-greens-expands-medford-greenhouse.html?ana=e_me_prem&amp;j=90518469&amp;t=Morning&amp;mkt_tok=eyJpIjoiTlRaaFl6TXpPRFE0TURFNSIsInQiOiIwcHp6bVwvelhlTFwvZzdzYUtEUmdpeWZMaEpcL2YwTWF6VXJtZHlRTlwvRnVZSXZFeGMrZjlwNXJySEJoaFFDekRRUEV5S3VaQTRZSUVIXC9Qc2hGWk5rYXlPUXp0N2FhVVk4aFN3NDVXVUIxeHB4WXBRdUM1a2RCTE4rSWdsb0V1Z2x4In0%3D" xr:uid="{6A2518B9-36F9-414D-A90B-0911DD1E23CA}"/>
    <hyperlink ref="O505" r:id="rId81" xr:uid="{0A82B62A-D7E1-4E1E-AACB-19F92D0F2C58}"/>
    <hyperlink ref="O520" r:id="rId82" xr:uid="{972822D9-EFD2-4378-93C1-A4D4A0583D1E}"/>
    <hyperlink ref="O518" r:id="rId83" xr:uid="{50B4D246-751D-4EBA-9458-7132D5B30C75}"/>
    <hyperlink ref="O515" r:id="rId84" xr:uid="{98C64F28-9225-43D1-8AAB-8773C0E5816A}"/>
    <hyperlink ref="O514" r:id="rId85" xr:uid="{4FCA5AB1-43F7-489E-84CC-E45565114A47}"/>
    <hyperlink ref="O517" r:id="rId86" xr:uid="{C90D1E7E-7753-4551-9429-75C66F65398D}"/>
    <hyperlink ref="O516" r:id="rId87" xr:uid="{1A08C613-82B9-4C5E-BAC9-2799EAA52959}"/>
    <hyperlink ref="O510" r:id="rId88" xr:uid="{5C9D360F-8A7A-4A43-A123-820FB554EFC9}"/>
    <hyperlink ref="O513" r:id="rId89" xr:uid="{9693BE6C-3518-4296-97A8-8EAE43EB89E2}"/>
    <hyperlink ref="O511" r:id="rId90" xr:uid="{585CD581-C764-45DF-B8A0-104259AB72E1}"/>
    <hyperlink ref="O525" r:id="rId91" xr:uid="{D49C6A35-9516-4C3B-8AC4-9B2A84137E71}"/>
    <hyperlink ref="O526" r:id="rId92" xr:uid="{AE89A23F-B1E3-4C9D-A075-3259A0BA41CE}"/>
    <hyperlink ref="O499" r:id="rId93" xr:uid="{5E102996-9BC8-45D7-ACC8-6565A2BED517}"/>
    <hyperlink ref="O493" r:id="rId94" xr:uid="{F869C0BB-C58B-4B4A-BB27-7564626BEEC6}"/>
    <hyperlink ref="O528" r:id="rId95" xr:uid="{9A426D98-1228-4518-B98A-1F4A0B5FEF1E}"/>
    <hyperlink ref="O519" r:id="rId96" xr:uid="{2D662682-206E-4371-9A72-541342AD4C37}"/>
    <hyperlink ref="O522" r:id="rId97" xr:uid="{63EAD19E-44C0-427D-9DA6-5CF9C94B992F}"/>
    <hyperlink ref="O545" r:id="rId98" xr:uid="{9C48DF1D-DE81-4939-84B3-9F8F704026EC}"/>
    <hyperlink ref="O539" r:id="rId99" xr:uid="{053FCDAE-2034-4984-8CB8-68FB9A5B67A7}"/>
    <hyperlink ref="O552" r:id="rId100" xr:uid="{6F35D1DB-E600-4743-86BE-7A66F3C16DC8}"/>
    <hyperlink ref="O561" r:id="rId101" display="https://gcc01.safelinks.protection.outlook.com/?url=https%3A%2F%2Fbit.ly%2F33wTacP&amp;data=04%7C01%7Cthu-mai.ho-kim%40state.mn.us%7Ca0c1a6b9e7504257229e08d8958a528b%7Ceb14b04624c445198f26b89c2159828c%7C0%7C0%7C637423768602340343%7CUnknown%7CTWFpbGZsb3d8eyJWIjoiMC4wLjAwMDAiLCJQIjoiV2luMzIiLCJBTiI6Ik1haWwiLCJXVCI6Mn0%3D%7C1000&amp;sdata=MuHXzlrwpeucgB15aD3hT6LYufkhUCGZGMd3n7mWia0%3D&amp;reserved=0" xr:uid="{81D0015C-ABB4-4387-BAA3-91C2E038A8C9}"/>
    <hyperlink ref="O563" r:id="rId102" display="https://gcc01.safelinks.protection.outlook.com/?url=https%3A%2F%2Fbit.ly%2F3fQBPAy&amp;data=04%7C01%7Cthu-mai.ho-kim%40state.mn.us%7Cdeb823def3fa43b813d208d89724f15c%7Ceb14b04624c445198f26b89c2159828c%7C0%7C0%7C637425532215908109%7CUnknown%7CTWFpbGZsb3d8eyJWIjoiMC4wLjAwMDAiLCJQIjoiV2luMzIiLCJBTiI6Ik1haWwiLCJXVCI6Mn0%3D%7C1000&amp;sdata=vRl4loOoDT3y26%2FVo0JD6AHK0RnEzU2U3zqTMK%2Fo%2Bmo%3D&amp;reserved=0" xr:uid="{DC8C0779-E70A-4A69-912C-CC392D9CDEDD}"/>
    <hyperlink ref="O565" r:id="rId103" xr:uid="{CB2EDE8E-69FC-4B01-A08B-1F6E402F520F}"/>
    <hyperlink ref="O583" r:id="rId104" xr:uid="{521EC0EC-A7F5-4BF5-92CA-0206570E6186}"/>
    <hyperlink ref="O588" r:id="rId105" xr:uid="{1A0ED29E-C3C8-4659-9890-36E4D173928F}"/>
    <hyperlink ref="O594" r:id="rId106" xr:uid="{B0C82695-4A6D-47D4-99E4-28556EA63C2B}"/>
    <hyperlink ref="O648" r:id="rId107" xr:uid="{3B453E31-F033-4A75-8E66-DD20E12E8E5F}"/>
    <hyperlink ref="O680" r:id="rId108" display="https://gcc02.safelinks.protection.outlook.com/?url=https%3A%2F%2Fbit.ly%2F3nwYasQ&amp;data=04%7C01%7Cthu-mai.ho-kim%40state.mn.us%7Ce2bc217e96a24e7552d508d977c5c96f%7Ceb14b04624c445198f26b89c2159828c%7C0%7C0%7C637672513635843188%7CUnknown%7CTWFpbGZsb3d8eyJWIjoiMC4wLjAwMDAiLCJQIjoiV2luMzIiLCJBTiI6Ik1haWwiLCJXVCI6Mn0%3D%7C1000&amp;sdata=bsfNQBW7mPz399EA1m9QF3czZ%2FRrMCPr4t8fJORhvAI%3D&amp;reserved=0" xr:uid="{476B90D9-9DF1-4595-9277-2DDB5821E9E4}"/>
    <hyperlink ref="O698" r:id="rId109" xr:uid="{FE71B8B0-7E0F-4A19-BECF-15986D218767}"/>
    <hyperlink ref="O725" r:id="rId110" xr:uid="{40789F3A-5DD3-4811-97FA-B3135B0C8ECE}"/>
    <hyperlink ref="O593" r:id="rId111" xr:uid="{C86B5449-915B-4FF5-BE9E-5A496E333A3B}"/>
    <hyperlink ref="O724" r:id="rId112" xr:uid="{381C67FF-6C18-436B-9D20-61E43E9BFBE4}"/>
    <hyperlink ref="O726" r:id="rId113" xr:uid="{398B6882-7A80-4A80-9A87-D1C9E6AF7456}"/>
    <hyperlink ref="O731" r:id="rId114" location="cxrecs_s" xr:uid="{21885D12-7403-4742-A81C-80CF07DF3EEA}"/>
    <hyperlink ref="O732" r:id="rId115" xr:uid="{5218573E-97D4-4B4C-8924-EFB7350A28B6}"/>
    <hyperlink ref="O730" r:id="rId116" xr:uid="{CD7A72A9-B688-426B-A0C0-11BEE8FBB65B}"/>
    <hyperlink ref="O747" r:id="rId117" xr:uid="{E825EEB7-C0D6-4B72-852F-5982D55DBB3A}"/>
    <hyperlink ref="O750" r:id="rId118" xr:uid="{E7730256-931A-4744-876C-7E828E63DB28}"/>
    <hyperlink ref="O714" r:id="rId119" xr:uid="{8F5DB4A0-618D-49DE-AF53-1D7EE6F1FB63}"/>
    <hyperlink ref="O639" r:id="rId120" xr:uid="{2C46F4FA-4CBA-4EF8-AF6F-5E5E66064C89}"/>
    <hyperlink ref="O762" r:id="rId121" xr:uid="{2052397F-5295-449E-89C1-7D9FB28B0501}"/>
    <hyperlink ref="O803" r:id="rId122" xr:uid="{B6ECEB89-368F-419A-99FB-C98A3045CE3D}"/>
    <hyperlink ref="O814" r:id="rId123" xr:uid="{9D90C454-62E2-4F43-A9C9-585EE25DA16E}"/>
    <hyperlink ref="O794" r:id="rId124" xr:uid="{FE33BCA5-BAAD-452B-904C-DD88620FFC7E}"/>
    <hyperlink ref="O799" r:id="rId125" xr:uid="{10FB00AF-1383-464A-BE3F-7885460A7DA8}"/>
    <hyperlink ref="O806" r:id="rId126" xr:uid="{C122A11B-CE87-4B7A-8ABF-8D3AB0C590C8}"/>
    <hyperlink ref="O821" r:id="rId127" xr:uid="{D46697D2-69FB-4A5C-A23B-936396369EFB}"/>
    <hyperlink ref="O809" r:id="rId128" xr:uid="{7BC9FFB2-A909-4C24-9694-727AC5F01CAA}"/>
    <hyperlink ref="O869" r:id="rId129" xr:uid="{45F90575-D0F0-4B4E-B2E0-E2B0A32E0BD1}"/>
    <hyperlink ref="O860" r:id="rId130" xr:uid="{591D6BFD-58ED-44B2-AC50-CC902B07CB1F}"/>
    <hyperlink ref="O867" r:id="rId131" xr:uid="{01E6EF83-F6CC-4DB1-8A4C-2FB6837CCAE1}"/>
    <hyperlink ref="O894" r:id="rId132" xr:uid="{063E3F82-9035-448D-B8E9-A05C742C794A}"/>
    <hyperlink ref="O897" r:id="rId133" xr:uid="{D892E7AF-9912-4D78-8386-EB489B774F4A}"/>
    <hyperlink ref="O912" r:id="rId134" xr:uid="{89FBA8EA-0134-4DD9-ADF8-364F4C76D640}"/>
    <hyperlink ref="O913" r:id="rId135" xr:uid="{203C6FFB-9662-4917-B6D3-ADB16DABACAD}"/>
    <hyperlink ref="O890" r:id="rId136" xr:uid="{D63DD0C1-69BD-46E6-8DEE-CEDDA7110460}"/>
    <hyperlink ref="O891" r:id="rId137" xr:uid="{515CC54D-8F4A-445F-BD88-39191B5ABC00}"/>
    <hyperlink ref="O922" r:id="rId138" xr:uid="{A151A6AA-42E7-44DC-9B2C-A70291E4E221}"/>
    <hyperlink ref="O924" r:id="rId139" xr:uid="{26669CF0-0CA9-4BF0-9138-ED11E175FBCD}"/>
    <hyperlink ref="O925" r:id="rId140" xr:uid="{D9777F1C-E437-419F-8566-900A44E0C29C}"/>
    <hyperlink ref="O936" r:id="rId141" xr:uid="{C8E1B365-362F-4AB8-85E7-5EEBD8CFD11B}"/>
    <hyperlink ref="O958" r:id="rId142" xr:uid="{EACE7187-F004-4BAC-81C4-365185BD2BD2}"/>
    <hyperlink ref="O933" r:id="rId143" xr:uid="{389EEB7F-89E7-4DCF-A387-E912A0D036D3}"/>
    <hyperlink ref="O905" r:id="rId144" xr:uid="{B81CC29E-1159-45BA-AD95-96F4B5950155}"/>
    <hyperlink ref="O797" r:id="rId145" xr:uid="{20B3BB59-B290-42CE-9769-6C7EF5F58233}"/>
    <hyperlink ref="O960" r:id="rId146" xr:uid="{2C2EB988-4360-4ACA-AEFD-F324A89332D3}"/>
    <hyperlink ref="O1004" r:id="rId147" xr:uid="{1BFCC630-53BC-4EB7-9556-495A217F3CC0}"/>
    <hyperlink ref="O1012" r:id="rId148" xr:uid="{43E72215-8F12-4BFC-A752-792EC6CC1F14}"/>
    <hyperlink ref="O1031" r:id="rId149" xr:uid="{9224EC84-F59F-44D7-BFE8-F9E5B60290C0}"/>
    <hyperlink ref="O1061" r:id="rId150" xr:uid="{1AEA6F83-0E22-41D8-AA74-ED8751BD917F}"/>
    <hyperlink ref="O1072" r:id="rId151" xr:uid="{D0509BF0-8639-4938-9E0E-9C54CA42A924}"/>
    <hyperlink ref="O1116" r:id="rId152" xr:uid="{931BE9F6-1B8A-4F89-B0FD-A7652335394A}"/>
    <hyperlink ref="O1119" r:id="rId153" xr:uid="{DBEB117F-474C-4AB0-8A91-C246AFD4B279}"/>
    <hyperlink ref="O1128" r:id="rId154" xr:uid="{31DE4C86-CCA5-4371-8B40-B085E9883381}"/>
  </hyperlinks>
  <pageMargins left="0.7" right="0.7" top="0.75" bottom="0.75" header="0.3" footer="0.3"/>
  <pageSetup orientation="portrait" r:id="rId1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2C16-0D7E-4E69-AA17-601088096182}">
  <dimension ref="A1:A25"/>
  <sheetViews>
    <sheetView workbookViewId="0">
      <selection activeCell="G8" sqref="G8"/>
    </sheetView>
  </sheetViews>
  <sheetFormatPr defaultRowHeight="15"/>
  <cols>
    <col min="1" max="1" width="9.140625" style="131"/>
  </cols>
  <sheetData>
    <row r="1" spans="1:1">
      <c r="A1" s="123" t="s">
        <v>0</v>
      </c>
    </row>
    <row r="2" spans="1:1">
      <c r="A2" s="123" t="s">
        <v>1</v>
      </c>
    </row>
    <row r="3" spans="1:1">
      <c r="A3" s="123" t="s">
        <v>2</v>
      </c>
    </row>
    <row r="4" spans="1:1">
      <c r="A4" s="123" t="s">
        <v>3</v>
      </c>
    </row>
    <row r="5" spans="1:1">
      <c r="A5" s="123" t="s">
        <v>4</v>
      </c>
    </row>
    <row r="6" spans="1:1">
      <c r="A6" s="123" t="s">
        <v>5</v>
      </c>
    </row>
    <row r="7" spans="1:1">
      <c r="A7" s="123" t="s">
        <v>6</v>
      </c>
    </row>
    <row r="8" spans="1:1">
      <c r="A8" s="123" t="s">
        <v>7</v>
      </c>
    </row>
    <row r="9" spans="1:1">
      <c r="A9" s="124" t="s">
        <v>8</v>
      </c>
    </row>
    <row r="10" spans="1:1">
      <c r="A10" s="125" t="s">
        <v>9</v>
      </c>
    </row>
    <row r="11" spans="1:1">
      <c r="A11" s="126" t="s">
        <v>10</v>
      </c>
    </row>
    <row r="12" spans="1:1">
      <c r="A12" s="125" t="s">
        <v>11</v>
      </c>
    </row>
    <row r="13" spans="1:1">
      <c r="A13" s="123" t="s">
        <v>12</v>
      </c>
    </row>
    <row r="14" spans="1:1">
      <c r="A14" s="123" t="s">
        <v>13</v>
      </c>
    </row>
    <row r="15" spans="1:1">
      <c r="A15" s="123" t="s">
        <v>14</v>
      </c>
    </row>
    <row r="16" spans="1:1">
      <c r="A16" s="123" t="s">
        <v>15</v>
      </c>
    </row>
    <row r="17" spans="1:1">
      <c r="A17" s="123" t="s">
        <v>16</v>
      </c>
    </row>
    <row r="18" spans="1:1">
      <c r="A18" s="127" t="s">
        <v>17</v>
      </c>
    </row>
    <row r="19" spans="1:1">
      <c r="A19" s="128" t="s">
        <v>18</v>
      </c>
    </row>
    <row r="20" spans="1:1">
      <c r="A20" s="128" t="s">
        <v>19</v>
      </c>
    </row>
    <row r="21" spans="1:1">
      <c r="A21" s="123" t="s">
        <v>20</v>
      </c>
    </row>
    <row r="22" spans="1:1">
      <c r="A22" s="129" t="s">
        <v>21</v>
      </c>
    </row>
    <row r="23" spans="1:1">
      <c r="A23" s="130" t="s">
        <v>22</v>
      </c>
    </row>
    <row r="24" spans="1:1">
      <c r="A24" s="123" t="s">
        <v>28</v>
      </c>
    </row>
    <row r="25" spans="1:1">
      <c r="A25" s="126" t="s">
        <v>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8F1B2-AB93-492E-8F1B-80F6AB69A703}">
  <dimension ref="A1:AK224"/>
  <sheetViews>
    <sheetView topLeftCell="U1" workbookViewId="0">
      <selection activeCell="AG9" sqref="AG9"/>
    </sheetView>
  </sheetViews>
  <sheetFormatPr defaultRowHeight="15"/>
  <cols>
    <col min="1" max="1" width="22.5703125" bestFit="1" customWidth="1"/>
    <col min="2" max="2" width="22.28515625" bestFit="1" customWidth="1"/>
    <col min="3" max="3" width="33.85546875" style="43" bestFit="1" customWidth="1"/>
    <col min="4" max="4" width="18" bestFit="1" customWidth="1"/>
    <col min="5" max="6" width="23.140625" bestFit="1" customWidth="1"/>
    <col min="10" max="10" width="16.28515625" bestFit="1" customWidth="1"/>
    <col min="11" max="11" width="9.5703125" bestFit="1" customWidth="1"/>
    <col min="12" max="12" width="14.5703125" bestFit="1" customWidth="1"/>
    <col min="25" max="25" width="9.28515625" bestFit="1" customWidth="1"/>
    <col min="26" max="26" width="9.5703125" bestFit="1" customWidth="1"/>
    <col min="27" max="27" width="16.85546875" bestFit="1" customWidth="1"/>
    <col min="34" max="34" width="19.42578125" customWidth="1"/>
    <col min="35" max="35" width="15.42578125" customWidth="1"/>
    <col min="36" max="36" width="15.7109375" customWidth="1"/>
    <col min="37" max="37" width="17.85546875" customWidth="1"/>
  </cols>
  <sheetData>
    <row r="1" spans="1:37">
      <c r="X1" t="s">
        <v>5572</v>
      </c>
    </row>
    <row r="2" spans="1:37">
      <c r="A2" s="30" t="s">
        <v>29</v>
      </c>
      <c r="B2" s="31">
        <v>2025</v>
      </c>
    </row>
    <row r="3" spans="1:37">
      <c r="A3" s="30" t="s">
        <v>13</v>
      </c>
      <c r="B3" t="s">
        <v>86</v>
      </c>
      <c r="Y3" s="253" t="s">
        <v>5573</v>
      </c>
      <c r="AB3" s="253" t="s">
        <v>5574</v>
      </c>
    </row>
    <row r="4" spans="1:37">
      <c r="C4"/>
      <c r="H4" s="231"/>
      <c r="I4" s="231"/>
      <c r="J4" s="231"/>
      <c r="K4" s="231"/>
      <c r="L4" s="231"/>
      <c r="M4" s="232"/>
      <c r="N4" s="232"/>
      <c r="O4" s="232"/>
      <c r="P4" s="232"/>
    </row>
    <row r="5" spans="1:37">
      <c r="A5" s="30" t="s">
        <v>5575</v>
      </c>
      <c r="B5" t="s">
        <v>5576</v>
      </c>
      <c r="C5" t="s">
        <v>5577</v>
      </c>
      <c r="D5" t="s">
        <v>5578</v>
      </c>
      <c r="H5" s="232"/>
      <c r="I5" s="232"/>
      <c r="J5" s="233"/>
      <c r="K5" s="234"/>
      <c r="L5" s="233"/>
      <c r="M5" s="232"/>
      <c r="N5" s="232"/>
      <c r="O5" s="234"/>
      <c r="P5" s="232"/>
      <c r="X5" s="253" t="s">
        <v>13</v>
      </c>
      <c r="Y5" t="s">
        <v>5579</v>
      </c>
      <c r="Z5" t="s">
        <v>5580</v>
      </c>
      <c r="AA5" t="s">
        <v>5581</v>
      </c>
      <c r="AB5" t="s">
        <v>5579</v>
      </c>
      <c r="AC5" t="s">
        <v>5580</v>
      </c>
      <c r="AD5" t="s">
        <v>5581</v>
      </c>
      <c r="AH5" s="253" t="s">
        <v>5582</v>
      </c>
      <c r="AI5" t="s">
        <v>5579</v>
      </c>
      <c r="AJ5" t="s">
        <v>5580</v>
      </c>
      <c r="AK5" t="s">
        <v>5581</v>
      </c>
    </row>
    <row r="6" spans="1:37">
      <c r="A6" s="31" t="s">
        <v>4013</v>
      </c>
      <c r="B6" s="32">
        <v>4</v>
      </c>
      <c r="C6" s="32">
        <v>19</v>
      </c>
      <c r="D6" s="32">
        <v>6300000</v>
      </c>
      <c r="H6" s="232"/>
      <c r="I6" s="232"/>
      <c r="J6" s="233"/>
      <c r="K6" s="234"/>
      <c r="L6" s="233"/>
      <c r="M6" s="232"/>
      <c r="N6" s="232"/>
      <c r="O6" s="234"/>
      <c r="P6" s="232"/>
      <c r="X6" t="s">
        <v>48</v>
      </c>
      <c r="Y6" s="43">
        <v>67</v>
      </c>
      <c r="Z6" s="43">
        <v>1486</v>
      </c>
      <c r="AA6" s="43">
        <v>814126301</v>
      </c>
      <c r="AB6" s="254">
        <f>Y6/Y$22</f>
        <v>0.54918032786885251</v>
      </c>
      <c r="AC6" s="254">
        <f t="shared" ref="AC6:AD20" si="0">Z6/Z$22</f>
        <v>0.67453472537448933</v>
      </c>
      <c r="AD6" s="254">
        <f t="shared" si="0"/>
        <v>0.23186789302529281</v>
      </c>
      <c r="AH6" s="31" t="s">
        <v>93</v>
      </c>
      <c r="AI6" s="32">
        <v>21</v>
      </c>
      <c r="AJ6" s="32">
        <v>371</v>
      </c>
      <c r="AK6" s="43">
        <v>276274468</v>
      </c>
    </row>
    <row r="7" spans="1:37">
      <c r="A7" s="31" t="s">
        <v>85</v>
      </c>
      <c r="B7" s="32">
        <v>1</v>
      </c>
      <c r="C7" s="32"/>
      <c r="D7" s="32"/>
      <c r="H7" s="232"/>
      <c r="I7" s="232"/>
      <c r="J7" s="233"/>
      <c r="K7" s="234"/>
      <c r="L7" s="233"/>
      <c r="M7" s="232"/>
      <c r="N7" s="232"/>
      <c r="O7" s="234"/>
      <c r="P7" s="232"/>
      <c r="X7" t="s">
        <v>86</v>
      </c>
      <c r="Y7" s="43">
        <v>11</v>
      </c>
      <c r="Z7" s="43">
        <v>130</v>
      </c>
      <c r="AA7" s="43">
        <v>1142813000</v>
      </c>
      <c r="AB7" s="254">
        <f>Y7/Y$22</f>
        <v>9.0163934426229511E-2</v>
      </c>
      <c r="AC7" s="254">
        <f t="shared" si="0"/>
        <v>5.9010440308669997E-2</v>
      </c>
      <c r="AD7" s="254">
        <f t="shared" si="0"/>
        <v>0.3254797715126439</v>
      </c>
      <c r="AH7" s="31" t="s">
        <v>167</v>
      </c>
      <c r="AI7" s="32">
        <v>8</v>
      </c>
      <c r="AJ7" s="32">
        <v>591</v>
      </c>
      <c r="AK7" s="43">
        <v>171700000</v>
      </c>
    </row>
    <row r="8" spans="1:37">
      <c r="A8" s="31" t="s">
        <v>3487</v>
      </c>
      <c r="B8" s="32">
        <v>2</v>
      </c>
      <c r="C8" s="32"/>
      <c r="D8" s="32"/>
      <c r="H8" s="232"/>
      <c r="I8" s="232"/>
      <c r="J8" s="233"/>
      <c r="K8" s="234"/>
      <c r="L8" s="233"/>
      <c r="M8" s="232"/>
      <c r="N8" s="232"/>
      <c r="O8" s="234"/>
      <c r="P8" s="232"/>
      <c r="X8" t="s">
        <v>2459</v>
      </c>
      <c r="Y8" s="43">
        <v>7</v>
      </c>
      <c r="Z8" s="43"/>
      <c r="AA8" s="43"/>
      <c r="AB8" s="254">
        <f>Y8/Y$22</f>
        <v>5.737704918032787E-2</v>
      </c>
      <c r="AC8" s="254">
        <f t="shared" si="0"/>
        <v>0</v>
      </c>
      <c r="AD8" s="254">
        <f t="shared" si="0"/>
        <v>0</v>
      </c>
      <c r="AH8" s="31" t="s">
        <v>496</v>
      </c>
      <c r="AI8" s="32">
        <v>3</v>
      </c>
      <c r="AJ8" s="32">
        <v>28</v>
      </c>
      <c r="AK8" s="43">
        <v>157000000</v>
      </c>
    </row>
    <row r="9" spans="1:37">
      <c r="A9" s="31" t="s">
        <v>318</v>
      </c>
      <c r="B9" s="32">
        <v>1</v>
      </c>
      <c r="C9" s="32">
        <v>29</v>
      </c>
      <c r="D9" s="32"/>
      <c r="H9" s="232"/>
      <c r="I9" s="232"/>
      <c r="J9" s="233"/>
      <c r="K9" s="234"/>
      <c r="L9" s="233"/>
      <c r="M9" s="232"/>
      <c r="N9" s="232"/>
      <c r="O9" s="234"/>
      <c r="P9" s="232"/>
      <c r="X9" t="s">
        <v>384</v>
      </c>
      <c r="Y9" s="43">
        <v>6</v>
      </c>
      <c r="Z9" s="43">
        <v>100</v>
      </c>
      <c r="AA9" s="43">
        <v>3467140</v>
      </c>
      <c r="AB9" s="254">
        <f t="shared" ref="AB9:AB22" si="1">Y9/Y$22</f>
        <v>4.9180327868852458E-2</v>
      </c>
      <c r="AC9" s="254">
        <f t="shared" si="0"/>
        <v>4.5392646391284611E-2</v>
      </c>
      <c r="AD9" s="254">
        <f t="shared" si="0"/>
        <v>9.874615838307301E-4</v>
      </c>
      <c r="AH9" s="31" t="s">
        <v>4965</v>
      </c>
      <c r="AI9" s="32">
        <v>2</v>
      </c>
      <c r="AJ9" s="32">
        <v>70</v>
      </c>
      <c r="AK9" s="43">
        <v>84200000</v>
      </c>
    </row>
    <row r="10" spans="1:37">
      <c r="A10" s="31" t="s">
        <v>2336</v>
      </c>
      <c r="B10" s="32">
        <v>3</v>
      </c>
      <c r="C10" s="32">
        <v>82</v>
      </c>
      <c r="D10" s="32">
        <v>1136513000</v>
      </c>
      <c r="H10" s="232"/>
      <c r="I10" s="232"/>
      <c r="J10" s="233"/>
      <c r="K10" s="234"/>
      <c r="L10" s="233"/>
      <c r="M10" s="232"/>
      <c r="N10" s="232"/>
      <c r="O10" s="234"/>
      <c r="P10" s="232"/>
      <c r="X10" t="s">
        <v>253</v>
      </c>
      <c r="Y10" s="43">
        <v>6</v>
      </c>
      <c r="Z10" s="43">
        <v>205</v>
      </c>
      <c r="AA10" s="43"/>
      <c r="AB10" s="254">
        <f t="shared" si="1"/>
        <v>4.9180327868852458E-2</v>
      </c>
      <c r="AC10" s="254">
        <f t="shared" si="0"/>
        <v>9.3054925102133451E-2</v>
      </c>
      <c r="AD10" s="254">
        <f t="shared" si="0"/>
        <v>0</v>
      </c>
      <c r="AH10" s="31" t="s">
        <v>2754</v>
      </c>
      <c r="AI10" s="32">
        <v>11</v>
      </c>
      <c r="AJ10" s="32">
        <v>86</v>
      </c>
      <c r="AK10" s="43">
        <v>70900000</v>
      </c>
    </row>
    <row r="11" spans="1:37">
      <c r="A11" s="31" t="s">
        <v>5583</v>
      </c>
      <c r="B11" s="32">
        <v>11</v>
      </c>
      <c r="C11" s="32">
        <v>130</v>
      </c>
      <c r="D11" s="32">
        <v>1142813000</v>
      </c>
      <c r="H11" s="232"/>
      <c r="I11" s="232"/>
      <c r="J11" s="233"/>
      <c r="K11" s="234"/>
      <c r="L11" s="233"/>
      <c r="M11" s="235"/>
      <c r="N11" s="232"/>
      <c r="O11" s="234"/>
      <c r="P11" s="232"/>
      <c r="X11" t="s">
        <v>313</v>
      </c>
      <c r="Y11" s="43">
        <v>6</v>
      </c>
      <c r="Z11" s="43">
        <v>4</v>
      </c>
      <c r="AA11" s="43">
        <v>34860000</v>
      </c>
      <c r="AB11" s="254">
        <f t="shared" si="1"/>
        <v>4.9180327868852458E-2</v>
      </c>
      <c r="AC11" s="254">
        <f t="shared" si="0"/>
        <v>1.8157058556513845E-3</v>
      </c>
      <c r="AD11" s="254">
        <f t="shared" si="0"/>
        <v>9.9283302123188717E-3</v>
      </c>
      <c r="AH11" s="31" t="s">
        <v>5002</v>
      </c>
      <c r="AI11" s="32">
        <v>2</v>
      </c>
      <c r="AJ11" s="32">
        <v>6</v>
      </c>
      <c r="AK11" s="43">
        <v>19310000</v>
      </c>
    </row>
    <row r="12" spans="1:37">
      <c r="C12"/>
      <c r="H12" s="232"/>
      <c r="I12" s="232"/>
      <c r="J12" s="233"/>
      <c r="K12" s="234"/>
      <c r="L12" s="233"/>
      <c r="M12" s="232"/>
      <c r="N12" s="232"/>
      <c r="O12" s="234"/>
      <c r="P12" s="232"/>
      <c r="X12" t="s">
        <v>77</v>
      </c>
      <c r="Y12" s="43">
        <v>4</v>
      </c>
      <c r="Z12" s="43">
        <v>230</v>
      </c>
      <c r="AA12" s="43">
        <v>13500000</v>
      </c>
      <c r="AB12" s="254">
        <f t="shared" si="1"/>
        <v>3.2786885245901641E-2</v>
      </c>
      <c r="AC12" s="254">
        <f t="shared" si="0"/>
        <v>0.10440308669995461</v>
      </c>
      <c r="AD12" s="254">
        <f t="shared" si="0"/>
        <v>3.8448783094178073E-3</v>
      </c>
      <c r="AH12" s="31" t="s">
        <v>3742</v>
      </c>
      <c r="AI12" s="32">
        <v>2</v>
      </c>
      <c r="AJ12" s="32"/>
      <c r="AK12" s="43">
        <v>12700000</v>
      </c>
    </row>
    <row r="13" spans="1:37">
      <c r="C13"/>
      <c r="H13" s="232"/>
      <c r="I13" s="232"/>
      <c r="J13" s="234"/>
      <c r="K13" s="234"/>
      <c r="L13" s="233"/>
      <c r="M13" s="232"/>
      <c r="N13" s="232"/>
      <c r="O13" s="232"/>
      <c r="P13" s="232"/>
      <c r="X13" t="s">
        <v>5584</v>
      </c>
      <c r="Y13" s="43">
        <v>3</v>
      </c>
      <c r="Z13" s="43">
        <v>10</v>
      </c>
      <c r="AA13" s="43">
        <v>1400000000</v>
      </c>
      <c r="AB13" s="254">
        <f t="shared" si="1"/>
        <v>2.4590163934426229E-2</v>
      </c>
      <c r="AC13" s="254">
        <f t="shared" si="0"/>
        <v>4.5392646391284614E-3</v>
      </c>
      <c r="AD13" s="254">
        <f t="shared" si="0"/>
        <v>0.39872812097666149</v>
      </c>
      <c r="AH13" s="31" t="s">
        <v>2090</v>
      </c>
      <c r="AI13" s="32">
        <v>1</v>
      </c>
      <c r="AJ13" s="32"/>
      <c r="AK13" s="43">
        <v>8600000</v>
      </c>
    </row>
    <row r="14" spans="1:37">
      <c r="C14"/>
      <c r="X14" t="s">
        <v>1462</v>
      </c>
      <c r="Y14" s="43">
        <v>3</v>
      </c>
      <c r="Z14" s="43">
        <v>12</v>
      </c>
      <c r="AA14" s="43">
        <v>92037000</v>
      </c>
      <c r="AB14" s="254">
        <f t="shared" si="1"/>
        <v>2.4590163934426229E-2</v>
      </c>
      <c r="AC14" s="254">
        <f t="shared" si="0"/>
        <v>5.4471175669541533E-3</v>
      </c>
      <c r="AD14" s="254">
        <f t="shared" si="0"/>
        <v>2.6212671478806425E-2</v>
      </c>
      <c r="AH14" s="31" t="s">
        <v>574</v>
      </c>
      <c r="AI14" s="32">
        <v>1</v>
      </c>
      <c r="AJ14" s="32">
        <v>15</v>
      </c>
      <c r="AK14" s="43">
        <v>7759833</v>
      </c>
    </row>
    <row r="15" spans="1:37">
      <c r="C15"/>
      <c r="X15" t="s">
        <v>140</v>
      </c>
      <c r="Y15" s="43">
        <v>2</v>
      </c>
      <c r="Z15" s="43"/>
      <c r="AA15" s="43">
        <v>1875000</v>
      </c>
      <c r="AB15" s="254">
        <f t="shared" si="1"/>
        <v>1.6393442622950821E-2</v>
      </c>
      <c r="AC15" s="254">
        <f t="shared" si="0"/>
        <v>0</v>
      </c>
      <c r="AD15" s="254">
        <f t="shared" si="0"/>
        <v>5.3401087630802876E-4</v>
      </c>
      <c r="AH15" s="31" t="s">
        <v>3077</v>
      </c>
      <c r="AI15" s="32">
        <v>1</v>
      </c>
      <c r="AJ15" s="32">
        <v>50</v>
      </c>
      <c r="AK15" s="43">
        <v>5000000</v>
      </c>
    </row>
    <row r="16" spans="1:37">
      <c r="C16"/>
      <c r="X16" t="s">
        <v>300</v>
      </c>
      <c r="Y16" s="43">
        <v>2</v>
      </c>
      <c r="Z16" s="43"/>
      <c r="AA16" s="43"/>
      <c r="AB16" s="254">
        <f t="shared" si="1"/>
        <v>1.6393442622950821E-2</v>
      </c>
      <c r="AC16" s="254">
        <f t="shared" si="0"/>
        <v>0</v>
      </c>
      <c r="AD16" s="254">
        <f t="shared" si="0"/>
        <v>0</v>
      </c>
      <c r="AH16" s="31" t="s">
        <v>132</v>
      </c>
      <c r="AI16" s="32">
        <v>3</v>
      </c>
      <c r="AJ16" s="32">
        <v>175</v>
      </c>
      <c r="AK16" s="43">
        <v>385000</v>
      </c>
    </row>
    <row r="17" spans="3:37">
      <c r="C17"/>
      <c r="H17" s="109" t="s">
        <v>29</v>
      </c>
      <c r="I17" s="109" t="s">
        <v>5585</v>
      </c>
      <c r="J17" s="109" t="s">
        <v>5586</v>
      </c>
      <c r="K17" s="110"/>
      <c r="X17" t="s">
        <v>103</v>
      </c>
      <c r="Y17" s="43">
        <v>2</v>
      </c>
      <c r="Z17" s="43">
        <v>14</v>
      </c>
      <c r="AA17" s="43">
        <v>2486000</v>
      </c>
      <c r="AB17" s="254">
        <f t="shared" si="1"/>
        <v>1.6393442622950821E-2</v>
      </c>
      <c r="AC17" s="254">
        <f t="shared" si="0"/>
        <v>6.3549704947798453E-3</v>
      </c>
      <c r="AD17" s="254">
        <f t="shared" si="0"/>
        <v>7.080272205342718E-4</v>
      </c>
      <c r="AH17" s="31" t="s">
        <v>2147</v>
      </c>
      <c r="AI17" s="32">
        <v>1</v>
      </c>
      <c r="AJ17" s="32"/>
      <c r="AK17" s="43">
        <v>297000</v>
      </c>
    </row>
    <row r="18" spans="3:37">
      <c r="C18"/>
      <c r="H18" s="31" t="s">
        <v>1261</v>
      </c>
      <c r="I18" s="32">
        <v>44</v>
      </c>
      <c r="J18" s="32">
        <v>1030</v>
      </c>
      <c r="K18" s="108"/>
      <c r="X18" t="s">
        <v>796</v>
      </c>
      <c r="Y18" s="43">
        <v>1</v>
      </c>
      <c r="Z18" s="43"/>
      <c r="AA18" s="43"/>
      <c r="AB18" s="254">
        <f t="shared" si="1"/>
        <v>8.1967213114754103E-3</v>
      </c>
      <c r="AC18" s="254">
        <f t="shared" si="0"/>
        <v>0</v>
      </c>
      <c r="AD18" s="254">
        <f t="shared" si="0"/>
        <v>0</v>
      </c>
      <c r="AH18" s="31" t="s">
        <v>3698</v>
      </c>
      <c r="AI18" s="32">
        <v>1</v>
      </c>
      <c r="AJ18" s="32">
        <v>30</v>
      </c>
      <c r="AK18" s="32"/>
    </row>
    <row r="19" spans="3:37">
      <c r="C19"/>
      <c r="H19" s="31" t="s">
        <v>1459</v>
      </c>
      <c r="I19" s="32">
        <v>54</v>
      </c>
      <c r="J19" s="32">
        <v>1141</v>
      </c>
      <c r="K19" s="108"/>
      <c r="X19" t="s">
        <v>762</v>
      </c>
      <c r="Y19" s="43">
        <v>1</v>
      </c>
      <c r="Z19" s="43">
        <v>2</v>
      </c>
      <c r="AA19" s="43"/>
      <c r="AB19" s="254">
        <f t="shared" si="1"/>
        <v>8.1967213114754103E-3</v>
      </c>
      <c r="AC19" s="254">
        <f t="shared" si="0"/>
        <v>9.0785292782569226E-4</v>
      </c>
      <c r="AD19" s="254">
        <f t="shared" si="0"/>
        <v>0</v>
      </c>
      <c r="AH19" s="31" t="s">
        <v>684</v>
      </c>
      <c r="AI19" s="32">
        <v>3</v>
      </c>
      <c r="AJ19" s="32">
        <v>29</v>
      </c>
      <c r="AK19" s="32"/>
    </row>
    <row r="20" spans="3:37">
      <c r="C20"/>
      <c r="H20" s="31" t="s">
        <v>1719</v>
      </c>
      <c r="I20" s="32">
        <v>53</v>
      </c>
      <c r="J20" s="32">
        <v>1927</v>
      </c>
      <c r="K20" s="108"/>
      <c r="X20" t="s">
        <v>4763</v>
      </c>
      <c r="Y20" s="43">
        <v>1</v>
      </c>
      <c r="Z20" s="43">
        <v>10</v>
      </c>
      <c r="AA20" s="43">
        <v>6000000</v>
      </c>
      <c r="AB20" s="254">
        <f t="shared" si="1"/>
        <v>8.1967213114754103E-3</v>
      </c>
      <c r="AC20" s="254">
        <f t="shared" si="0"/>
        <v>4.5392646391284614E-3</v>
      </c>
      <c r="AD20" s="254">
        <f t="shared" si="0"/>
        <v>1.708834804185692E-3</v>
      </c>
      <c r="AH20" s="31" t="s">
        <v>5191</v>
      </c>
      <c r="AI20" s="32">
        <v>1</v>
      </c>
      <c r="AJ20" s="32">
        <v>20</v>
      </c>
      <c r="AK20" s="32"/>
    </row>
    <row r="21" spans="3:37">
      <c r="C21"/>
      <c r="H21" s="31" t="s">
        <v>1947</v>
      </c>
      <c r="I21" s="32">
        <v>27</v>
      </c>
      <c r="J21" s="32">
        <v>1317</v>
      </c>
      <c r="K21" s="108"/>
      <c r="Y21" s="43"/>
      <c r="Z21" s="43"/>
      <c r="AA21" s="43"/>
      <c r="AH21" s="31" t="s">
        <v>5212</v>
      </c>
      <c r="AI21" s="32">
        <v>1</v>
      </c>
      <c r="AJ21" s="32">
        <v>10</v>
      </c>
      <c r="AK21" s="32"/>
    </row>
    <row r="22" spans="3:37">
      <c r="C22"/>
      <c r="H22" s="31" t="s">
        <v>2072</v>
      </c>
      <c r="I22" s="32">
        <v>40</v>
      </c>
      <c r="J22" s="32">
        <v>1698</v>
      </c>
      <c r="K22" s="108"/>
      <c r="X22" t="s">
        <v>5587</v>
      </c>
      <c r="Y22" s="43">
        <v>122</v>
      </c>
      <c r="Z22" s="43">
        <v>2203</v>
      </c>
      <c r="AA22" s="43">
        <v>3511164441</v>
      </c>
      <c r="AB22" s="254">
        <f t="shared" si="1"/>
        <v>1</v>
      </c>
      <c r="AC22" s="254">
        <f>Z22/Z$22</f>
        <v>1</v>
      </c>
      <c r="AD22" s="254">
        <f>AA22/AA$22</f>
        <v>1</v>
      </c>
      <c r="AH22" s="31" t="s">
        <v>2799</v>
      </c>
      <c r="AI22" s="32">
        <v>1</v>
      </c>
      <c r="AJ22" s="32">
        <v>5</v>
      </c>
      <c r="AK22" s="32"/>
    </row>
    <row r="23" spans="3:37">
      <c r="C23"/>
      <c r="H23" s="31" t="s">
        <v>2276</v>
      </c>
      <c r="I23" s="32">
        <v>38</v>
      </c>
      <c r="J23" s="32">
        <v>5722</v>
      </c>
      <c r="K23" s="108"/>
      <c r="AH23" s="31" t="s">
        <v>2826</v>
      </c>
      <c r="AI23" s="32">
        <v>1</v>
      </c>
      <c r="AJ23" s="32"/>
      <c r="AK23" s="32"/>
    </row>
    <row r="24" spans="3:37">
      <c r="C24"/>
      <c r="H24" s="31" t="s">
        <v>2439</v>
      </c>
      <c r="I24" s="32">
        <v>46</v>
      </c>
      <c r="J24" s="32">
        <v>711</v>
      </c>
      <c r="K24" s="108"/>
      <c r="AH24" s="31" t="s">
        <v>5269</v>
      </c>
      <c r="AI24" s="32">
        <v>1</v>
      </c>
      <c r="AJ24" s="32"/>
      <c r="AK24" s="32"/>
    </row>
    <row r="25" spans="3:37">
      <c r="C25"/>
      <c r="H25" s="31" t="s">
        <v>2610</v>
      </c>
      <c r="I25" s="32">
        <v>31</v>
      </c>
      <c r="J25" s="32">
        <v>1436</v>
      </c>
      <c r="K25" s="108"/>
      <c r="AH25" s="31" t="s">
        <v>77</v>
      </c>
      <c r="AI25" s="32">
        <v>2</v>
      </c>
      <c r="AJ25" s="32"/>
      <c r="AK25" s="32"/>
    </row>
    <row r="26" spans="3:37">
      <c r="C26"/>
      <c r="H26" s="31" t="s">
        <v>2751</v>
      </c>
      <c r="I26" s="32">
        <v>36</v>
      </c>
      <c r="J26" s="32">
        <v>1385</v>
      </c>
      <c r="AH26" s="31"/>
      <c r="AI26" s="32"/>
      <c r="AJ26" s="32"/>
      <c r="AK26" s="32"/>
    </row>
    <row r="27" spans="3:37">
      <c r="C27"/>
      <c r="H27" s="31" t="s">
        <v>2899</v>
      </c>
      <c r="I27" s="32">
        <v>39</v>
      </c>
      <c r="J27" s="32">
        <v>1795</v>
      </c>
      <c r="AH27" s="31"/>
      <c r="AI27" s="32"/>
      <c r="AJ27" s="32"/>
    </row>
    <row r="28" spans="3:37">
      <c r="C28"/>
      <c r="H28" s="31" t="s">
        <v>3059</v>
      </c>
      <c r="I28" s="32">
        <v>43</v>
      </c>
      <c r="J28" s="32">
        <v>2452</v>
      </c>
    </row>
    <row r="29" spans="3:37">
      <c r="C29"/>
      <c r="H29" s="31" t="s">
        <v>3227</v>
      </c>
      <c r="I29" s="32">
        <v>27</v>
      </c>
      <c r="J29" s="32">
        <v>2415</v>
      </c>
      <c r="AH29" s="31" t="s">
        <v>5587</v>
      </c>
      <c r="AI29">
        <f>SUM(AI6:AI27)</f>
        <v>67</v>
      </c>
      <c r="AJ29">
        <f>SUM(AJ6:AJ27)</f>
        <v>1486</v>
      </c>
      <c r="AK29">
        <f>SUM(AK6:AK27)</f>
        <v>814126301</v>
      </c>
    </row>
    <row r="30" spans="3:37">
      <c r="C30"/>
      <c r="H30" s="31" t="s">
        <v>3333</v>
      </c>
      <c r="I30" s="32">
        <v>45</v>
      </c>
      <c r="J30" s="32">
        <v>2004</v>
      </c>
    </row>
    <row r="31" spans="3:37">
      <c r="C31"/>
      <c r="H31" s="31" t="s">
        <v>3528</v>
      </c>
      <c r="I31" s="32">
        <v>34</v>
      </c>
      <c r="J31" s="32">
        <v>1792</v>
      </c>
    </row>
    <row r="32" spans="3:37">
      <c r="C32"/>
      <c r="H32" s="31" t="s">
        <v>3444</v>
      </c>
      <c r="I32" s="32">
        <v>30</v>
      </c>
      <c r="J32" s="32">
        <v>1019</v>
      </c>
    </row>
    <row r="33" spans="3:10">
      <c r="C33"/>
      <c r="H33" s="31" t="s">
        <v>3792</v>
      </c>
      <c r="I33" s="32">
        <v>30</v>
      </c>
      <c r="J33" s="32">
        <v>914</v>
      </c>
    </row>
    <row r="34" spans="3:10">
      <c r="C34"/>
      <c r="H34" s="31" t="s">
        <v>3912</v>
      </c>
      <c r="I34" s="32">
        <v>36</v>
      </c>
      <c r="J34" s="32">
        <v>894</v>
      </c>
    </row>
    <row r="35" spans="3:10">
      <c r="C35"/>
      <c r="H35" s="31" t="s">
        <v>4067</v>
      </c>
      <c r="I35" s="32">
        <v>35</v>
      </c>
      <c r="J35" s="32">
        <v>1265</v>
      </c>
    </row>
    <row r="36" spans="3:10">
      <c r="C36"/>
      <c r="H36" s="31" t="s">
        <v>4215</v>
      </c>
      <c r="I36" s="32">
        <v>19</v>
      </c>
      <c r="J36" s="32">
        <v>417</v>
      </c>
    </row>
    <row r="37" spans="3:10">
      <c r="C37"/>
      <c r="H37" s="31" t="s">
        <v>4315</v>
      </c>
      <c r="I37" s="32">
        <v>22</v>
      </c>
      <c r="J37" s="32">
        <v>7295</v>
      </c>
    </row>
    <row r="38" spans="3:10">
      <c r="C38"/>
      <c r="H38" s="31" t="s">
        <v>4414</v>
      </c>
      <c r="I38" s="32">
        <v>33</v>
      </c>
      <c r="J38" s="32">
        <v>1159</v>
      </c>
    </row>
    <row r="39" spans="3:10">
      <c r="C39"/>
      <c r="H39" s="31" t="s">
        <v>4554</v>
      </c>
      <c r="I39" s="32">
        <v>21</v>
      </c>
      <c r="J39" s="32">
        <v>492</v>
      </c>
    </row>
    <row r="40" spans="3:10">
      <c r="C40"/>
      <c r="H40" s="31" t="s">
        <v>4639</v>
      </c>
      <c r="I40" s="32">
        <v>39</v>
      </c>
      <c r="J40" s="32">
        <v>1015</v>
      </c>
    </row>
    <row r="41" spans="3:10">
      <c r="C41"/>
      <c r="H41" s="31" t="s">
        <v>4813</v>
      </c>
      <c r="I41" s="32">
        <v>23</v>
      </c>
      <c r="J41" s="32">
        <v>1716</v>
      </c>
    </row>
    <row r="42" spans="3:10">
      <c r="C42"/>
      <c r="H42" s="31" t="s">
        <v>4928</v>
      </c>
      <c r="I42" s="32">
        <v>29</v>
      </c>
      <c r="J42" s="32">
        <v>1005</v>
      </c>
    </row>
    <row r="43" spans="3:10">
      <c r="C43"/>
      <c r="H43" s="31" t="s">
        <v>4916</v>
      </c>
      <c r="I43" s="32">
        <v>34</v>
      </c>
      <c r="J43" s="32">
        <v>373</v>
      </c>
    </row>
    <row r="44" spans="3:10">
      <c r="C44"/>
      <c r="H44" s="31" t="s">
        <v>4955</v>
      </c>
      <c r="I44" s="32">
        <v>29</v>
      </c>
      <c r="J44" s="32">
        <v>432</v>
      </c>
    </row>
    <row r="45" spans="3:10">
      <c r="C45"/>
      <c r="H45" s="31" t="s">
        <v>4933</v>
      </c>
      <c r="I45" s="32">
        <v>30</v>
      </c>
      <c r="J45" s="32">
        <v>393</v>
      </c>
    </row>
    <row r="46" spans="3:10">
      <c r="C46"/>
    </row>
    <row r="47" spans="3:10">
      <c r="C47"/>
    </row>
    <row r="48" spans="3:10">
      <c r="C48"/>
    </row>
    <row r="49" spans="3:3">
      <c r="C49"/>
    </row>
    <row r="50" spans="3:3">
      <c r="C50"/>
    </row>
    <row r="51" spans="3:3">
      <c r="C51"/>
    </row>
    <row r="52" spans="3:3">
      <c r="C52"/>
    </row>
    <row r="53" spans="3:3">
      <c r="C53"/>
    </row>
    <row r="54" spans="3:3">
      <c r="C54"/>
    </row>
    <row r="55" spans="3:3">
      <c r="C55"/>
    </row>
    <row r="56" spans="3:3">
      <c r="C56"/>
    </row>
    <row r="57" spans="3:3">
      <c r="C57"/>
    </row>
    <row r="58" spans="3:3">
      <c r="C58"/>
    </row>
    <row r="59" spans="3:3">
      <c r="C59"/>
    </row>
    <row r="60" spans="3:3">
      <c r="C60"/>
    </row>
    <row r="61" spans="3:3">
      <c r="C61"/>
    </row>
    <row r="62" spans="3:3">
      <c r="C62"/>
    </row>
    <row r="63" spans="3:3">
      <c r="C63"/>
    </row>
    <row r="64" spans="3:3">
      <c r="C64"/>
    </row>
    <row r="65" spans="3:3">
      <c r="C65"/>
    </row>
    <row r="66" spans="3:3">
      <c r="C66"/>
    </row>
    <row r="67" spans="3:3">
      <c r="C67"/>
    </row>
    <row r="68" spans="3:3">
      <c r="C68"/>
    </row>
    <row r="69" spans="3:3">
      <c r="C69"/>
    </row>
    <row r="70" spans="3:3">
      <c r="C70"/>
    </row>
    <row r="71" spans="3:3">
      <c r="C71"/>
    </row>
    <row r="72" spans="3:3">
      <c r="C72"/>
    </row>
    <row r="73" spans="3:3">
      <c r="C73"/>
    </row>
    <row r="74" spans="3:3">
      <c r="C74"/>
    </row>
    <row r="75" spans="3:3">
      <c r="C75"/>
    </row>
    <row r="76" spans="3:3">
      <c r="C76"/>
    </row>
    <row r="77" spans="3:3">
      <c r="C77"/>
    </row>
    <row r="78" spans="3:3">
      <c r="C78"/>
    </row>
    <row r="79" spans="3:3">
      <c r="C79"/>
    </row>
    <row r="80" spans="3:3">
      <c r="C80"/>
    </row>
    <row r="81" spans="3:3">
      <c r="C81"/>
    </row>
    <row r="82" spans="3:3">
      <c r="C82"/>
    </row>
    <row r="83" spans="3:3">
      <c r="C83"/>
    </row>
    <row r="84" spans="3:3">
      <c r="C84"/>
    </row>
    <row r="85" spans="3:3">
      <c r="C85"/>
    </row>
    <row r="86" spans="3:3">
      <c r="C86"/>
    </row>
    <row r="87" spans="3:3">
      <c r="C87"/>
    </row>
    <row r="88" spans="3:3">
      <c r="C88"/>
    </row>
    <row r="89" spans="3:3">
      <c r="C89"/>
    </row>
    <row r="90" spans="3:3">
      <c r="C90"/>
    </row>
    <row r="91" spans="3:3">
      <c r="C91"/>
    </row>
    <row r="92" spans="3:3">
      <c r="C92"/>
    </row>
    <row r="93" spans="3:3">
      <c r="C93"/>
    </row>
    <row r="94" spans="3:3">
      <c r="C94"/>
    </row>
    <row r="95" spans="3:3">
      <c r="C95"/>
    </row>
    <row r="96" spans="3:3">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row r="173" spans="3:3">
      <c r="C173"/>
    </row>
    <row r="174" spans="3:3">
      <c r="C174"/>
    </row>
    <row r="175" spans="3:3">
      <c r="C175"/>
    </row>
    <row r="176" spans="3:3">
      <c r="C176"/>
    </row>
    <row r="177" spans="3:3">
      <c r="C177"/>
    </row>
    <row r="178" spans="3:3">
      <c r="C178"/>
    </row>
    <row r="179" spans="3:3">
      <c r="C179"/>
    </row>
    <row r="180" spans="3:3">
      <c r="C180"/>
    </row>
    <row r="181" spans="3:3">
      <c r="C181"/>
    </row>
    <row r="182" spans="3:3">
      <c r="C182"/>
    </row>
    <row r="183" spans="3:3">
      <c r="C183"/>
    </row>
    <row r="184" spans="3:3">
      <c r="C184"/>
    </row>
    <row r="185" spans="3:3">
      <c r="C185"/>
    </row>
    <row r="186" spans="3:3">
      <c r="C186"/>
    </row>
    <row r="187" spans="3:3">
      <c r="C187"/>
    </row>
    <row r="188" spans="3:3">
      <c r="C188"/>
    </row>
    <row r="189" spans="3:3">
      <c r="C189"/>
    </row>
    <row r="190" spans="3:3">
      <c r="C190"/>
    </row>
    <row r="191" spans="3:3">
      <c r="C191"/>
    </row>
    <row r="192" spans="3:3">
      <c r="C192"/>
    </row>
    <row r="193" spans="3:3">
      <c r="C193"/>
    </row>
    <row r="194" spans="3:3">
      <c r="C194"/>
    </row>
    <row r="195" spans="3:3">
      <c r="C195"/>
    </row>
    <row r="196" spans="3:3">
      <c r="C196"/>
    </row>
    <row r="197" spans="3:3">
      <c r="C197"/>
    </row>
    <row r="198" spans="3:3">
      <c r="C198"/>
    </row>
    <row r="199" spans="3:3">
      <c r="C199"/>
    </row>
    <row r="200" spans="3:3">
      <c r="C200"/>
    </row>
    <row r="201" spans="3:3">
      <c r="C201"/>
    </row>
    <row r="202" spans="3:3">
      <c r="C202"/>
    </row>
    <row r="203" spans="3:3">
      <c r="C203"/>
    </row>
    <row r="204" spans="3:3">
      <c r="C204"/>
    </row>
    <row r="205" spans="3:3">
      <c r="C205"/>
    </row>
    <row r="206" spans="3:3">
      <c r="C206"/>
    </row>
    <row r="207" spans="3:3">
      <c r="C207"/>
    </row>
    <row r="208" spans="3:3">
      <c r="C208"/>
    </row>
    <row r="209" spans="3:3">
      <c r="C209"/>
    </row>
    <row r="210" spans="3:3">
      <c r="C210"/>
    </row>
    <row r="211" spans="3:3">
      <c r="C211"/>
    </row>
    <row r="212" spans="3:3">
      <c r="C212"/>
    </row>
    <row r="213" spans="3:3">
      <c r="C213"/>
    </row>
    <row r="214" spans="3:3">
      <c r="C214"/>
    </row>
    <row r="215" spans="3:3">
      <c r="C215"/>
    </row>
    <row r="216" spans="3:3">
      <c r="C216"/>
    </row>
    <row r="217" spans="3:3">
      <c r="C217"/>
    </row>
    <row r="218" spans="3:3">
      <c r="C218"/>
    </row>
    <row r="219" spans="3:3">
      <c r="C219"/>
    </row>
    <row r="220" spans="3:3">
      <c r="C220"/>
    </row>
    <row r="221" spans="3:3">
      <c r="C221"/>
    </row>
    <row r="222" spans="3:3">
      <c r="C222"/>
    </row>
    <row r="223" spans="3:3">
      <c r="C223"/>
    </row>
    <row r="224" spans="3:3">
      <c r="C224"/>
    </row>
  </sheetData>
  <sortState xmlns:xlrd2="http://schemas.microsoft.com/office/spreadsheetml/2017/richdata2" ref="AH6:AK25">
    <sortCondition descending="1" ref="AK5:AK25"/>
  </sortState>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37"/>
  <sheetViews>
    <sheetView topLeftCell="A34" workbookViewId="0">
      <selection activeCell="A43" sqref="A43"/>
    </sheetView>
  </sheetViews>
  <sheetFormatPr defaultRowHeight="15"/>
  <cols>
    <col min="1" max="1" width="11.28515625" style="25" customWidth="1"/>
    <col min="2" max="2" width="9.5703125" style="13" bestFit="1" customWidth="1"/>
    <col min="3" max="3" width="13.7109375" style="13" customWidth="1"/>
  </cols>
  <sheetData>
    <row r="1" spans="1:3">
      <c r="A1" s="18" t="s">
        <v>4</v>
      </c>
      <c r="B1" s="19" t="s">
        <v>28</v>
      </c>
      <c r="C1" s="19" t="s">
        <v>5</v>
      </c>
    </row>
    <row r="2" spans="1:3">
      <c r="A2" s="12" t="s">
        <v>2919</v>
      </c>
      <c r="B2" s="13" t="s">
        <v>41</v>
      </c>
      <c r="C2" s="14" t="s">
        <v>34</v>
      </c>
    </row>
    <row r="3" spans="1:3">
      <c r="A3" s="12" t="s">
        <v>1172</v>
      </c>
      <c r="B3" s="13" t="s">
        <v>41</v>
      </c>
      <c r="C3" s="14" t="s">
        <v>34</v>
      </c>
    </row>
    <row r="4" spans="1:3">
      <c r="A4" s="15" t="s">
        <v>5588</v>
      </c>
      <c r="B4" t="s">
        <v>41</v>
      </c>
      <c r="C4" s="14" t="s">
        <v>34</v>
      </c>
    </row>
    <row r="5" spans="1:3">
      <c r="A5" s="12" t="s">
        <v>4528</v>
      </c>
      <c r="B5" s="13" t="s">
        <v>41</v>
      </c>
      <c r="C5" s="14" t="s">
        <v>34</v>
      </c>
    </row>
    <row r="6" spans="1:3">
      <c r="A6" s="12" t="s">
        <v>2289</v>
      </c>
      <c r="B6" s="13" t="s">
        <v>41</v>
      </c>
      <c r="C6" s="14" t="s">
        <v>34</v>
      </c>
    </row>
    <row r="7" spans="1:3">
      <c r="A7" s="16" t="s">
        <v>1557</v>
      </c>
      <c r="B7" s="17" t="s">
        <v>41</v>
      </c>
      <c r="C7" s="14" t="s">
        <v>34</v>
      </c>
    </row>
    <row r="8" spans="1:3">
      <c r="A8" s="12" t="s">
        <v>246</v>
      </c>
      <c r="B8" s="13" t="s">
        <v>41</v>
      </c>
      <c r="C8" s="14" t="s">
        <v>34</v>
      </c>
    </row>
    <row r="9" spans="1:3">
      <c r="A9" s="12" t="s">
        <v>238</v>
      </c>
      <c r="B9" s="13" t="s">
        <v>41</v>
      </c>
      <c r="C9" s="14" t="s">
        <v>34</v>
      </c>
    </row>
    <row r="10" spans="1:3">
      <c r="A10" s="12" t="s">
        <v>1419</v>
      </c>
      <c r="B10" s="13" t="s">
        <v>41</v>
      </c>
      <c r="C10" s="14" t="s">
        <v>34</v>
      </c>
    </row>
    <row r="11" spans="1:3">
      <c r="A11" s="15" t="s">
        <v>2651</v>
      </c>
      <c r="B11" t="s">
        <v>41</v>
      </c>
      <c r="C11" s="14" t="s">
        <v>34</v>
      </c>
    </row>
    <row r="12" spans="1:3">
      <c r="A12" s="12" t="s">
        <v>3659</v>
      </c>
      <c r="B12" s="13" t="s">
        <v>41</v>
      </c>
      <c r="C12" s="14" t="s">
        <v>34</v>
      </c>
    </row>
    <row r="13" spans="1:3">
      <c r="A13" s="12" t="s">
        <v>1213</v>
      </c>
      <c r="B13" s="13" t="s">
        <v>41</v>
      </c>
      <c r="C13" s="14" t="s">
        <v>34</v>
      </c>
    </row>
    <row r="14" spans="1:3">
      <c r="A14" s="12" t="s">
        <v>33</v>
      </c>
      <c r="B14" s="13" t="s">
        <v>41</v>
      </c>
      <c r="C14" s="14" t="s">
        <v>34</v>
      </c>
    </row>
    <row r="15" spans="1:3">
      <c r="A15" s="12" t="s">
        <v>5589</v>
      </c>
      <c r="B15" s="13" t="s">
        <v>41</v>
      </c>
      <c r="C15" s="14" t="s">
        <v>34</v>
      </c>
    </row>
    <row r="16" spans="1:3">
      <c r="A16" s="12" t="s">
        <v>282</v>
      </c>
      <c r="B16" s="13" t="s">
        <v>41</v>
      </c>
      <c r="C16" s="14" t="s">
        <v>34</v>
      </c>
    </row>
    <row r="17" spans="1:3">
      <c r="A17" s="12" t="s">
        <v>474</v>
      </c>
      <c r="B17" s="13" t="s">
        <v>41</v>
      </c>
      <c r="C17" s="14" t="s">
        <v>34</v>
      </c>
    </row>
    <row r="18" spans="1:3">
      <c r="A18" s="12" t="s">
        <v>3825</v>
      </c>
      <c r="B18" s="13" t="s">
        <v>41</v>
      </c>
      <c r="C18" s="14" t="s">
        <v>34</v>
      </c>
    </row>
    <row r="19" spans="1:3">
      <c r="A19" s="12" t="s">
        <v>907</v>
      </c>
      <c r="B19" s="13" t="s">
        <v>41</v>
      </c>
      <c r="C19" s="14" t="s">
        <v>34</v>
      </c>
    </row>
    <row r="20" spans="1:3">
      <c r="A20" s="12" t="s">
        <v>2106</v>
      </c>
      <c r="B20" s="13" t="s">
        <v>41</v>
      </c>
      <c r="C20" s="14" t="s">
        <v>34</v>
      </c>
    </row>
    <row r="21" spans="1:3">
      <c r="A21" s="12" t="s">
        <v>5449</v>
      </c>
      <c r="B21" s="13" t="s">
        <v>41</v>
      </c>
      <c r="C21" s="14" t="s">
        <v>34</v>
      </c>
    </row>
    <row r="22" spans="1:3">
      <c r="A22" s="12" t="s">
        <v>564</v>
      </c>
      <c r="B22" s="13" t="s">
        <v>41</v>
      </c>
      <c r="C22" s="14" t="s">
        <v>34</v>
      </c>
    </row>
    <row r="23" spans="1:3">
      <c r="A23" s="12" t="s">
        <v>1734</v>
      </c>
      <c r="B23" s="13" t="s">
        <v>41</v>
      </c>
      <c r="C23" s="14" t="s">
        <v>34</v>
      </c>
    </row>
    <row r="24" spans="1:3">
      <c r="A24" s="16" t="s">
        <v>395</v>
      </c>
      <c r="B24" s="13" t="s">
        <v>41</v>
      </c>
      <c r="C24" s="14" t="s">
        <v>34</v>
      </c>
    </row>
    <row r="25" spans="1:3">
      <c r="A25" s="21" t="s">
        <v>952</v>
      </c>
      <c r="B25" s="13" t="s">
        <v>41</v>
      </c>
      <c r="C25" s="14" t="s">
        <v>34</v>
      </c>
    </row>
    <row r="26" spans="1:3">
      <c r="A26" s="21" t="s">
        <v>760</v>
      </c>
      <c r="B26" s="13" t="s">
        <v>41</v>
      </c>
      <c r="C26" s="14" t="s">
        <v>34</v>
      </c>
    </row>
    <row r="27" spans="1:3">
      <c r="A27" s="15" t="s">
        <v>2058</v>
      </c>
      <c r="B27" t="s">
        <v>41</v>
      </c>
      <c r="C27" s="14" t="s">
        <v>34</v>
      </c>
    </row>
    <row r="28" spans="1:3">
      <c r="A28" s="21" t="s">
        <v>5590</v>
      </c>
      <c r="B28" s="13" t="s">
        <v>41</v>
      </c>
      <c r="C28" s="14" t="s">
        <v>34</v>
      </c>
    </row>
    <row r="29" spans="1:3">
      <c r="A29" s="15" t="s">
        <v>5591</v>
      </c>
      <c r="B29" t="s">
        <v>41</v>
      </c>
      <c r="C29" s="14" t="s">
        <v>34</v>
      </c>
    </row>
    <row r="30" spans="1:3">
      <c r="A30" s="21" t="s">
        <v>2105</v>
      </c>
      <c r="B30" s="13" t="s">
        <v>41</v>
      </c>
      <c r="C30" s="14" t="s">
        <v>34</v>
      </c>
    </row>
    <row r="31" spans="1:3">
      <c r="A31" s="21" t="s">
        <v>5592</v>
      </c>
      <c r="B31" s="13" t="s">
        <v>41</v>
      </c>
      <c r="C31" s="14" t="s">
        <v>34</v>
      </c>
    </row>
    <row r="32" spans="1:3">
      <c r="A32" s="21" t="s">
        <v>572</v>
      </c>
      <c r="B32" s="13" t="s">
        <v>41</v>
      </c>
      <c r="C32" s="14" t="s">
        <v>34</v>
      </c>
    </row>
    <row r="33" spans="1:3">
      <c r="A33" s="15" t="s">
        <v>5593</v>
      </c>
      <c r="B33" t="s">
        <v>41</v>
      </c>
      <c r="C33" s="14" t="s">
        <v>34</v>
      </c>
    </row>
    <row r="34" spans="1:3">
      <c r="A34" s="12" t="s">
        <v>677</v>
      </c>
      <c r="B34" s="13" t="s">
        <v>51</v>
      </c>
      <c r="C34" s="14" t="s">
        <v>34</v>
      </c>
    </row>
    <row r="35" spans="1:3">
      <c r="A35" s="12" t="s">
        <v>54</v>
      </c>
      <c r="B35" s="13" t="s">
        <v>51</v>
      </c>
      <c r="C35" s="14" t="s">
        <v>34</v>
      </c>
    </row>
    <row r="36" spans="1:3">
      <c r="A36" s="12" t="s">
        <v>74</v>
      </c>
      <c r="B36" s="13" t="s">
        <v>51</v>
      </c>
      <c r="C36" s="14" t="s">
        <v>34</v>
      </c>
    </row>
    <row r="37" spans="1:3">
      <c r="A37" s="12" t="s">
        <v>66</v>
      </c>
      <c r="B37" s="13" t="s">
        <v>51</v>
      </c>
      <c r="C37" s="14" t="s">
        <v>34</v>
      </c>
    </row>
    <row r="38" spans="1:3">
      <c r="A38" s="12" t="s">
        <v>99</v>
      </c>
      <c r="B38" s="13" t="s">
        <v>51</v>
      </c>
      <c r="C38" s="14" t="s">
        <v>34</v>
      </c>
    </row>
    <row r="39" spans="1:3">
      <c r="A39" s="12" t="s">
        <v>335</v>
      </c>
      <c r="B39" s="13" t="s">
        <v>51</v>
      </c>
      <c r="C39" s="14" t="s">
        <v>34</v>
      </c>
    </row>
    <row r="40" spans="1:3">
      <c r="A40" s="21" t="s">
        <v>44</v>
      </c>
      <c r="B40" s="13" t="s">
        <v>51</v>
      </c>
      <c r="C40" s="14" t="s">
        <v>34</v>
      </c>
    </row>
    <row r="41" spans="1:3">
      <c r="A41" s="12" t="s">
        <v>5594</v>
      </c>
      <c r="B41" s="13" t="s">
        <v>97</v>
      </c>
      <c r="C41" s="14" t="s">
        <v>34</v>
      </c>
    </row>
    <row r="42" spans="1:3">
      <c r="A42" s="12" t="s">
        <v>277</v>
      </c>
      <c r="B42" s="14" t="s">
        <v>97</v>
      </c>
      <c r="C42" s="14" t="s">
        <v>34</v>
      </c>
    </row>
    <row r="43" spans="1:3">
      <c r="A43" s="12" t="s">
        <v>1590</v>
      </c>
      <c r="B43" s="14" t="s">
        <v>97</v>
      </c>
      <c r="C43" s="14" t="s">
        <v>34</v>
      </c>
    </row>
    <row r="44" spans="1:3">
      <c r="A44" s="15" t="s">
        <v>1991</v>
      </c>
      <c r="B44" t="s">
        <v>97</v>
      </c>
      <c r="C44" s="14" t="s">
        <v>34</v>
      </c>
    </row>
    <row r="45" spans="1:3">
      <c r="A45" s="15" t="s">
        <v>5595</v>
      </c>
      <c r="B45" t="s">
        <v>97</v>
      </c>
      <c r="C45" s="14" t="s">
        <v>34</v>
      </c>
    </row>
    <row r="46" spans="1:3">
      <c r="A46" s="15" t="s">
        <v>5596</v>
      </c>
      <c r="B46" t="s">
        <v>97</v>
      </c>
      <c r="C46" s="14" t="s">
        <v>34</v>
      </c>
    </row>
    <row r="47" spans="1:3">
      <c r="A47" s="12" t="s">
        <v>3388</v>
      </c>
      <c r="B47" s="14" t="s">
        <v>97</v>
      </c>
      <c r="C47" s="14" t="s">
        <v>34</v>
      </c>
    </row>
    <row r="48" spans="1:3">
      <c r="A48" s="15" t="s">
        <v>5597</v>
      </c>
      <c r="B48" t="s">
        <v>97</v>
      </c>
      <c r="C48" s="14" t="s">
        <v>34</v>
      </c>
    </row>
    <row r="49" spans="1:3">
      <c r="A49" s="12" t="s">
        <v>231</v>
      </c>
      <c r="B49" s="14" t="s">
        <v>97</v>
      </c>
      <c r="C49" s="14" t="s">
        <v>34</v>
      </c>
    </row>
    <row r="50" spans="1:3">
      <c r="A50" s="12" t="s">
        <v>1430</v>
      </c>
      <c r="B50" s="14" t="s">
        <v>97</v>
      </c>
      <c r="C50" s="14" t="s">
        <v>34</v>
      </c>
    </row>
    <row r="51" spans="1:3">
      <c r="A51" s="15" t="s">
        <v>2667</v>
      </c>
      <c r="B51" t="s">
        <v>97</v>
      </c>
      <c r="C51" s="14" t="s">
        <v>34</v>
      </c>
    </row>
    <row r="52" spans="1:3">
      <c r="A52" s="15" t="s">
        <v>5598</v>
      </c>
      <c r="B52" t="s">
        <v>97</v>
      </c>
      <c r="C52" s="14" t="s">
        <v>34</v>
      </c>
    </row>
    <row r="53" spans="1:3">
      <c r="A53" s="15" t="s">
        <v>4288</v>
      </c>
      <c r="B53" t="s">
        <v>97</v>
      </c>
      <c r="C53" s="14" t="s">
        <v>34</v>
      </c>
    </row>
    <row r="54" spans="1:3">
      <c r="A54" s="15" t="s">
        <v>2152</v>
      </c>
      <c r="B54" t="s">
        <v>97</v>
      </c>
      <c r="C54" s="14" t="s">
        <v>34</v>
      </c>
    </row>
    <row r="55" spans="1:3">
      <c r="A55" s="12" t="s">
        <v>2839</v>
      </c>
      <c r="B55" s="14" t="s">
        <v>97</v>
      </c>
      <c r="C55" s="14" t="s">
        <v>34</v>
      </c>
    </row>
    <row r="56" spans="1:3">
      <c r="A56" s="12" t="s">
        <v>1671</v>
      </c>
      <c r="B56" s="14" t="s">
        <v>97</v>
      </c>
      <c r="C56" s="14" t="s">
        <v>34</v>
      </c>
    </row>
    <row r="57" spans="1:3">
      <c r="A57" s="12" t="s">
        <v>3480</v>
      </c>
      <c r="B57" s="14" t="s">
        <v>97</v>
      </c>
      <c r="C57" s="14" t="s">
        <v>34</v>
      </c>
    </row>
    <row r="58" spans="1:3">
      <c r="A58" s="12" t="s">
        <v>2875</v>
      </c>
      <c r="B58" s="14" t="s">
        <v>97</v>
      </c>
      <c r="C58" s="14" t="s">
        <v>34</v>
      </c>
    </row>
    <row r="59" spans="1:3">
      <c r="A59" s="21" t="s">
        <v>91</v>
      </c>
      <c r="B59" s="14" t="s">
        <v>97</v>
      </c>
      <c r="C59" s="14" t="s">
        <v>34</v>
      </c>
    </row>
    <row r="60" spans="1:3">
      <c r="A60" s="12" t="s">
        <v>373</v>
      </c>
      <c r="B60" s="13" t="s">
        <v>120</v>
      </c>
      <c r="C60" s="14" t="s">
        <v>34</v>
      </c>
    </row>
    <row r="61" spans="1:3">
      <c r="A61" s="12" t="s">
        <v>1013</v>
      </c>
      <c r="B61" s="13" t="s">
        <v>120</v>
      </c>
      <c r="C61" s="14" t="s">
        <v>34</v>
      </c>
    </row>
    <row r="62" spans="1:3">
      <c r="A62" s="12" t="s">
        <v>2321</v>
      </c>
      <c r="B62" s="13" t="s">
        <v>120</v>
      </c>
      <c r="C62" s="14" t="s">
        <v>34</v>
      </c>
    </row>
    <row r="63" spans="1:3">
      <c r="A63" s="12" t="s">
        <v>5599</v>
      </c>
      <c r="B63" s="13" t="s">
        <v>120</v>
      </c>
      <c r="C63" s="14" t="s">
        <v>34</v>
      </c>
    </row>
    <row r="64" spans="1:3">
      <c r="A64" s="12" t="s">
        <v>467</v>
      </c>
      <c r="B64" s="13" t="s">
        <v>120</v>
      </c>
      <c r="C64" s="14" t="s">
        <v>34</v>
      </c>
    </row>
    <row r="65" spans="1:3">
      <c r="A65" s="12" t="s">
        <v>1478</v>
      </c>
      <c r="B65" s="13" t="s">
        <v>120</v>
      </c>
      <c r="C65" s="14" t="s">
        <v>34</v>
      </c>
    </row>
    <row r="66" spans="1:3">
      <c r="A66" s="12" t="s">
        <v>382</v>
      </c>
      <c r="B66" s="13" t="s">
        <v>120</v>
      </c>
      <c r="C66" s="14" t="s">
        <v>34</v>
      </c>
    </row>
    <row r="67" spans="1:3">
      <c r="A67" s="12" t="s">
        <v>426</v>
      </c>
      <c r="B67" s="13" t="s">
        <v>120</v>
      </c>
      <c r="C67" s="14" t="s">
        <v>34</v>
      </c>
    </row>
    <row r="68" spans="1:3">
      <c r="A68" s="12" t="s">
        <v>4294</v>
      </c>
      <c r="B68" s="13" t="s">
        <v>120</v>
      </c>
      <c r="C68" s="14" t="s">
        <v>34</v>
      </c>
    </row>
    <row r="69" spans="1:3">
      <c r="A69" s="12" t="s">
        <v>4576</v>
      </c>
      <c r="B69" s="13" t="s">
        <v>120</v>
      </c>
      <c r="C69" s="14" t="s">
        <v>34</v>
      </c>
    </row>
    <row r="70" spans="1:3">
      <c r="A70" s="12" t="s">
        <v>2027</v>
      </c>
      <c r="B70" s="13" t="s">
        <v>120</v>
      </c>
      <c r="C70" s="14" t="s">
        <v>34</v>
      </c>
    </row>
    <row r="71" spans="1:3">
      <c r="A71" s="20" t="s">
        <v>5600</v>
      </c>
      <c r="B71" t="s">
        <v>120</v>
      </c>
      <c r="C71" s="14" t="s">
        <v>34</v>
      </c>
    </row>
    <row r="72" spans="1:3">
      <c r="A72" s="12" t="s">
        <v>2322</v>
      </c>
      <c r="B72" s="13" t="s">
        <v>120</v>
      </c>
      <c r="C72" s="14" t="s">
        <v>34</v>
      </c>
    </row>
    <row r="73" spans="1:3">
      <c r="A73" s="22" t="s">
        <v>1572</v>
      </c>
      <c r="B73" s="13" t="s">
        <v>120</v>
      </c>
      <c r="C73" s="14" t="s">
        <v>34</v>
      </c>
    </row>
    <row r="74" spans="1:3">
      <c r="A74" s="23" t="s">
        <v>842</v>
      </c>
      <c r="B74" s="13" t="s">
        <v>120</v>
      </c>
      <c r="C74" s="14" t="s">
        <v>34</v>
      </c>
    </row>
    <row r="75" spans="1:3">
      <c r="A75" s="23" t="s">
        <v>5601</v>
      </c>
      <c r="B75" s="13" t="s">
        <v>120</v>
      </c>
      <c r="C75" s="14" t="s">
        <v>34</v>
      </c>
    </row>
    <row r="76" spans="1:3">
      <c r="A76" s="23" t="s">
        <v>182</v>
      </c>
      <c r="B76" s="13" t="s">
        <v>120</v>
      </c>
      <c r="C76" s="14" t="s">
        <v>34</v>
      </c>
    </row>
    <row r="77" spans="1:3">
      <c r="A77" s="23" t="s">
        <v>2390</v>
      </c>
      <c r="B77" s="13" t="s">
        <v>120</v>
      </c>
      <c r="C77" s="14" t="s">
        <v>34</v>
      </c>
    </row>
    <row r="78" spans="1:3">
      <c r="A78" s="23" t="s">
        <v>112</v>
      </c>
      <c r="B78" s="13" t="s">
        <v>120</v>
      </c>
      <c r="C78" s="14" t="s">
        <v>34</v>
      </c>
    </row>
    <row r="79" spans="1:3">
      <c r="A79" s="26" t="s">
        <v>2042</v>
      </c>
      <c r="B79" s="13" t="s">
        <v>120</v>
      </c>
      <c r="C79" s="14" t="s">
        <v>34</v>
      </c>
    </row>
    <row r="80" spans="1:3">
      <c r="A80" s="27" t="s">
        <v>4756</v>
      </c>
      <c r="B80" t="s">
        <v>120</v>
      </c>
      <c r="C80" s="14" t="s">
        <v>34</v>
      </c>
    </row>
    <row r="81" spans="1:3">
      <c r="A81" s="23" t="s">
        <v>468</v>
      </c>
      <c r="B81" s="13" t="s">
        <v>120</v>
      </c>
      <c r="C81" s="14" t="s">
        <v>34</v>
      </c>
    </row>
    <row r="82" spans="1:3">
      <c r="A82" s="23" t="s">
        <v>123</v>
      </c>
      <c r="B82" s="13" t="s">
        <v>120</v>
      </c>
      <c r="C82" s="14" t="s">
        <v>34</v>
      </c>
    </row>
    <row r="83" spans="1:3">
      <c r="A83" s="23" t="s">
        <v>5181</v>
      </c>
      <c r="B83" s="13" t="s">
        <v>120</v>
      </c>
      <c r="C83" s="14" t="s">
        <v>34</v>
      </c>
    </row>
    <row r="84" spans="1:3">
      <c r="A84" s="26" t="s">
        <v>1253</v>
      </c>
      <c r="B84" s="13" t="s">
        <v>120</v>
      </c>
      <c r="C84" s="14" t="s">
        <v>34</v>
      </c>
    </row>
    <row r="85" spans="1:3">
      <c r="A85" s="22" t="s">
        <v>5055</v>
      </c>
      <c r="B85" s="13" t="s">
        <v>120</v>
      </c>
      <c r="C85" s="14" t="s">
        <v>34</v>
      </c>
    </row>
    <row r="86" spans="1:3">
      <c r="A86" s="23" t="s">
        <v>2633</v>
      </c>
      <c r="B86" s="13" t="s">
        <v>120</v>
      </c>
      <c r="C86" s="14" t="s">
        <v>34</v>
      </c>
    </row>
    <row r="87" spans="1:3">
      <c r="A87" s="28" t="s">
        <v>3239</v>
      </c>
      <c r="B87" t="s">
        <v>120</v>
      </c>
      <c r="C87" s="14" t="s">
        <v>34</v>
      </c>
    </row>
    <row r="88" spans="1:3">
      <c r="A88" s="23" t="s">
        <v>515</v>
      </c>
      <c r="B88" s="13" t="s">
        <v>120</v>
      </c>
      <c r="C88" s="14" t="s">
        <v>34</v>
      </c>
    </row>
    <row r="89" spans="1:3">
      <c r="A89" s="24"/>
      <c r="B89"/>
      <c r="C89"/>
    </row>
    <row r="90" spans="1:3">
      <c r="A90" s="24"/>
      <c r="B90"/>
      <c r="C90"/>
    </row>
    <row r="91" spans="1:3">
      <c r="A91" s="24"/>
      <c r="B91"/>
      <c r="C91"/>
    </row>
    <row r="92" spans="1:3">
      <c r="A92" s="24"/>
      <c r="B92"/>
      <c r="C92"/>
    </row>
    <row r="93" spans="1:3">
      <c r="A93" s="24"/>
      <c r="B93"/>
      <c r="C93"/>
    </row>
    <row r="94" spans="1:3">
      <c r="A94" s="24"/>
      <c r="B94"/>
      <c r="C94"/>
    </row>
    <row r="95" spans="1:3">
      <c r="A95" s="24"/>
      <c r="B95"/>
      <c r="C95"/>
    </row>
    <row r="96" spans="1:3">
      <c r="A96" s="24"/>
      <c r="B96"/>
      <c r="C96"/>
    </row>
    <row r="97" spans="1:3">
      <c r="A97" s="24"/>
      <c r="B97"/>
      <c r="C97"/>
    </row>
    <row r="98" spans="1:3">
      <c r="A98" s="24"/>
      <c r="B98"/>
      <c r="C98"/>
    </row>
    <row r="99" spans="1:3">
      <c r="A99" s="24"/>
      <c r="B99"/>
      <c r="C99"/>
    </row>
    <row r="100" spans="1:3">
      <c r="A100" s="24"/>
      <c r="B100"/>
      <c r="C100"/>
    </row>
    <row r="101" spans="1:3">
      <c r="A101" s="24"/>
      <c r="B101"/>
      <c r="C101"/>
    </row>
    <row r="102" spans="1:3">
      <c r="A102" s="24"/>
      <c r="B102"/>
      <c r="C102"/>
    </row>
    <row r="103" spans="1:3">
      <c r="A103" s="24"/>
      <c r="B103"/>
      <c r="C103"/>
    </row>
    <row r="104" spans="1:3">
      <c r="A104" s="24"/>
      <c r="B104"/>
      <c r="C104"/>
    </row>
    <row r="105" spans="1:3">
      <c r="A105" s="24"/>
      <c r="B105"/>
      <c r="C105"/>
    </row>
    <row r="106" spans="1:3">
      <c r="A106" s="24"/>
      <c r="B106"/>
      <c r="C106"/>
    </row>
    <row r="107" spans="1:3">
      <c r="A107" s="24"/>
      <c r="B107"/>
      <c r="C107"/>
    </row>
    <row r="108" spans="1:3">
      <c r="A108" s="24"/>
      <c r="B108"/>
      <c r="C108"/>
    </row>
    <row r="109" spans="1:3">
      <c r="A109" s="24"/>
      <c r="B109"/>
      <c r="C109"/>
    </row>
    <row r="110" spans="1:3">
      <c r="A110" s="24"/>
      <c r="B110"/>
      <c r="C110"/>
    </row>
    <row r="111" spans="1:3">
      <c r="A111" s="24"/>
      <c r="B111"/>
      <c r="C111"/>
    </row>
    <row r="112" spans="1:3">
      <c r="A112" s="24"/>
      <c r="B112"/>
      <c r="C112"/>
    </row>
    <row r="113" spans="1:3">
      <c r="A113" s="24"/>
      <c r="B113"/>
      <c r="C113"/>
    </row>
    <row r="114" spans="1:3">
      <c r="A114" s="24"/>
      <c r="B114"/>
      <c r="C114"/>
    </row>
    <row r="115" spans="1:3">
      <c r="A115" s="24"/>
      <c r="B115"/>
      <c r="C115"/>
    </row>
    <row r="116" spans="1:3">
      <c r="A116" s="24"/>
      <c r="B116"/>
      <c r="C116"/>
    </row>
    <row r="117" spans="1:3">
      <c r="A117" s="24"/>
      <c r="B117"/>
      <c r="C117"/>
    </row>
    <row r="118" spans="1:3">
      <c r="A118" s="24"/>
      <c r="B118"/>
      <c r="C118"/>
    </row>
    <row r="119" spans="1:3">
      <c r="A119" s="24"/>
      <c r="B119"/>
      <c r="C119"/>
    </row>
    <row r="120" spans="1:3">
      <c r="A120" s="24"/>
      <c r="B120"/>
      <c r="C120"/>
    </row>
    <row r="121" spans="1:3">
      <c r="A121" s="24"/>
      <c r="B121"/>
      <c r="C121"/>
    </row>
    <row r="122" spans="1:3">
      <c r="A122" s="24"/>
      <c r="B122"/>
      <c r="C122"/>
    </row>
    <row r="123" spans="1:3">
      <c r="A123" s="24"/>
      <c r="B123"/>
      <c r="C123"/>
    </row>
    <row r="124" spans="1:3">
      <c r="A124" s="24"/>
      <c r="B124"/>
      <c r="C124"/>
    </row>
    <row r="125" spans="1:3">
      <c r="A125" s="24"/>
      <c r="B125"/>
      <c r="C125"/>
    </row>
    <row r="126" spans="1:3">
      <c r="A126" s="24"/>
      <c r="B126"/>
      <c r="C126"/>
    </row>
    <row r="127" spans="1:3">
      <c r="A127" s="24"/>
      <c r="B127"/>
      <c r="C127"/>
    </row>
    <row r="128" spans="1:3">
      <c r="A128" s="24"/>
      <c r="B128"/>
      <c r="C128"/>
    </row>
    <row r="129" spans="1:3">
      <c r="A129" s="24"/>
      <c r="B129"/>
      <c r="C129"/>
    </row>
    <row r="130" spans="1:3">
      <c r="A130" s="24"/>
      <c r="B130"/>
      <c r="C130"/>
    </row>
    <row r="131" spans="1:3">
      <c r="A131" s="24"/>
      <c r="B131"/>
      <c r="C131"/>
    </row>
    <row r="132" spans="1:3">
      <c r="A132" s="24"/>
      <c r="B132"/>
      <c r="C132"/>
    </row>
    <row r="133" spans="1:3">
      <c r="A133" s="24"/>
      <c r="B133"/>
      <c r="C133"/>
    </row>
    <row r="134" spans="1:3">
      <c r="A134" s="24"/>
      <c r="B134"/>
      <c r="C134"/>
    </row>
    <row r="135" spans="1:3">
      <c r="A135" s="24"/>
      <c r="B135"/>
      <c r="C135"/>
    </row>
    <row r="136" spans="1:3">
      <c r="A136" s="24"/>
      <c r="B136"/>
      <c r="C136"/>
    </row>
    <row r="137" spans="1:3">
      <c r="A137" s="24"/>
      <c r="B137"/>
      <c r="C137"/>
    </row>
    <row r="138" spans="1:3">
      <c r="A138" s="24"/>
      <c r="B138"/>
      <c r="C138"/>
    </row>
    <row r="139" spans="1:3">
      <c r="A139" s="24"/>
      <c r="B139"/>
      <c r="C139"/>
    </row>
    <row r="140" spans="1:3">
      <c r="A140" s="24"/>
      <c r="B140"/>
      <c r="C140"/>
    </row>
    <row r="141" spans="1:3">
      <c r="A141" s="24"/>
      <c r="B141"/>
      <c r="C141"/>
    </row>
    <row r="142" spans="1:3">
      <c r="A142" s="24"/>
      <c r="B142"/>
      <c r="C142"/>
    </row>
    <row r="143" spans="1:3">
      <c r="A143" s="24"/>
      <c r="B143"/>
      <c r="C143"/>
    </row>
    <row r="144" spans="1:3">
      <c r="A144" s="24"/>
      <c r="B144"/>
      <c r="C144"/>
    </row>
    <row r="145" spans="1:3">
      <c r="A145" s="24"/>
      <c r="B145"/>
      <c r="C145"/>
    </row>
    <row r="146" spans="1:3">
      <c r="A146" s="24"/>
      <c r="B146"/>
      <c r="C146"/>
    </row>
    <row r="147" spans="1:3">
      <c r="A147" s="24"/>
      <c r="B147"/>
      <c r="C147"/>
    </row>
    <row r="148" spans="1:3">
      <c r="A148" s="24"/>
      <c r="B148"/>
      <c r="C148"/>
    </row>
    <row r="149" spans="1:3">
      <c r="A149" s="24"/>
      <c r="B149"/>
      <c r="C149"/>
    </row>
    <row r="150" spans="1:3">
      <c r="A150" s="24"/>
      <c r="B150"/>
      <c r="C150"/>
    </row>
    <row r="151" spans="1:3">
      <c r="A151" s="24"/>
      <c r="B151"/>
      <c r="C151"/>
    </row>
    <row r="152" spans="1:3">
      <c r="A152" s="24"/>
      <c r="B152"/>
      <c r="C152"/>
    </row>
    <row r="153" spans="1:3">
      <c r="A153" s="24"/>
      <c r="B153"/>
      <c r="C153"/>
    </row>
    <row r="154" spans="1:3">
      <c r="A154" s="24"/>
      <c r="B154"/>
      <c r="C154"/>
    </row>
    <row r="155" spans="1:3">
      <c r="A155" s="24"/>
      <c r="B155"/>
      <c r="C155"/>
    </row>
    <row r="156" spans="1:3">
      <c r="A156" s="24"/>
      <c r="B156"/>
      <c r="C156"/>
    </row>
    <row r="157" spans="1:3">
      <c r="A157" s="24"/>
      <c r="B157"/>
      <c r="C157"/>
    </row>
    <row r="158" spans="1:3">
      <c r="A158" s="24"/>
      <c r="B158"/>
      <c r="C158"/>
    </row>
    <row r="159" spans="1:3">
      <c r="A159" s="24"/>
      <c r="B159"/>
      <c r="C159"/>
    </row>
    <row r="160" spans="1:3">
      <c r="A160" s="24"/>
      <c r="B160"/>
      <c r="C160"/>
    </row>
    <row r="161" spans="1:3">
      <c r="A161" s="24"/>
      <c r="B161"/>
      <c r="C161"/>
    </row>
    <row r="162" spans="1:3">
      <c r="A162" s="24"/>
      <c r="B162"/>
      <c r="C162"/>
    </row>
    <row r="163" spans="1:3">
      <c r="A163" s="24"/>
      <c r="B163"/>
      <c r="C163"/>
    </row>
    <row r="164" spans="1:3">
      <c r="A164" s="24"/>
      <c r="B164"/>
      <c r="C164"/>
    </row>
    <row r="165" spans="1:3">
      <c r="A165" s="24"/>
      <c r="B165"/>
      <c r="C165"/>
    </row>
    <row r="166" spans="1:3">
      <c r="A166" s="24"/>
      <c r="B166"/>
      <c r="C166"/>
    </row>
    <row r="167" spans="1:3">
      <c r="A167" s="24"/>
      <c r="B167"/>
      <c r="C167"/>
    </row>
    <row r="168" spans="1:3">
      <c r="A168" s="24"/>
      <c r="B168"/>
      <c r="C168"/>
    </row>
    <row r="169" spans="1:3">
      <c r="A169" s="24"/>
      <c r="B169"/>
      <c r="C169"/>
    </row>
    <row r="170" spans="1:3">
      <c r="A170" s="24"/>
      <c r="B170"/>
      <c r="C170"/>
    </row>
    <row r="171" spans="1:3">
      <c r="A171" s="24"/>
      <c r="B171"/>
      <c r="C171"/>
    </row>
    <row r="172" spans="1:3">
      <c r="A172" s="24"/>
      <c r="B172"/>
      <c r="C172"/>
    </row>
    <row r="173" spans="1:3">
      <c r="A173" s="24"/>
      <c r="B173"/>
      <c r="C173"/>
    </row>
    <row r="174" spans="1:3">
      <c r="A174" s="24"/>
      <c r="B174"/>
      <c r="C174"/>
    </row>
    <row r="175" spans="1:3">
      <c r="A175" s="24"/>
      <c r="B175"/>
      <c r="C175"/>
    </row>
    <row r="176" spans="1:3">
      <c r="A176" s="24"/>
      <c r="B176"/>
      <c r="C176"/>
    </row>
    <row r="177" spans="1:3">
      <c r="A177" s="24"/>
      <c r="B177"/>
      <c r="C177"/>
    </row>
    <row r="178" spans="1:3">
      <c r="A178" s="24"/>
      <c r="B178"/>
      <c r="C178"/>
    </row>
    <row r="179" spans="1:3">
      <c r="A179" s="24"/>
      <c r="B179"/>
      <c r="C179"/>
    </row>
    <row r="180" spans="1:3">
      <c r="A180" s="24"/>
      <c r="B180"/>
      <c r="C180"/>
    </row>
    <row r="181" spans="1:3">
      <c r="A181" s="24"/>
      <c r="B181"/>
      <c r="C181"/>
    </row>
    <row r="182" spans="1:3">
      <c r="A182" s="24"/>
      <c r="B182"/>
      <c r="C182"/>
    </row>
    <row r="183" spans="1:3">
      <c r="A183" s="24"/>
      <c r="B183"/>
      <c r="C183"/>
    </row>
    <row r="184" spans="1:3">
      <c r="A184" s="24"/>
      <c r="B184"/>
      <c r="C184"/>
    </row>
    <row r="185" spans="1:3">
      <c r="A185" s="24"/>
      <c r="B185"/>
      <c r="C185"/>
    </row>
    <row r="186" spans="1:3">
      <c r="A186" s="24"/>
      <c r="B186"/>
      <c r="C186"/>
    </row>
    <row r="187" spans="1:3">
      <c r="A187" s="24"/>
      <c r="B187"/>
      <c r="C187"/>
    </row>
    <row r="188" spans="1:3">
      <c r="A188" s="24"/>
      <c r="B188"/>
      <c r="C188"/>
    </row>
    <row r="189" spans="1:3">
      <c r="A189" s="24"/>
      <c r="B189"/>
      <c r="C189"/>
    </row>
    <row r="190" spans="1:3">
      <c r="A190" s="24"/>
      <c r="B190"/>
      <c r="C190"/>
    </row>
    <row r="191" spans="1:3">
      <c r="A191" s="24"/>
      <c r="B191"/>
      <c r="C191"/>
    </row>
    <row r="192" spans="1:3">
      <c r="A192" s="24"/>
      <c r="B192"/>
      <c r="C192"/>
    </row>
    <row r="193" spans="1:3">
      <c r="A193" s="24"/>
      <c r="B193"/>
      <c r="C193"/>
    </row>
    <row r="194" spans="1:3">
      <c r="A194" s="24"/>
      <c r="B194"/>
      <c r="C194"/>
    </row>
    <row r="195" spans="1:3">
      <c r="A195" s="24"/>
      <c r="B195"/>
      <c r="C195"/>
    </row>
    <row r="196" spans="1:3">
      <c r="A196" s="24"/>
      <c r="B196"/>
      <c r="C196"/>
    </row>
    <row r="197" spans="1:3">
      <c r="A197" s="24"/>
      <c r="B197"/>
      <c r="C197"/>
    </row>
    <row r="198" spans="1:3">
      <c r="A198" s="24"/>
      <c r="B198"/>
      <c r="C198"/>
    </row>
    <row r="199" spans="1:3">
      <c r="A199" s="24"/>
      <c r="B199"/>
      <c r="C199"/>
    </row>
    <row r="200" spans="1:3">
      <c r="A200" s="24"/>
      <c r="B200"/>
      <c r="C200"/>
    </row>
    <row r="201" spans="1:3">
      <c r="A201" s="24"/>
      <c r="B201"/>
      <c r="C201"/>
    </row>
    <row r="202" spans="1:3">
      <c r="A202" s="24"/>
      <c r="B202"/>
      <c r="C202"/>
    </row>
    <row r="203" spans="1:3">
      <c r="A203" s="24"/>
      <c r="B203"/>
      <c r="C203"/>
    </row>
    <row r="204" spans="1:3">
      <c r="A204" s="24"/>
      <c r="B204"/>
      <c r="C204"/>
    </row>
    <row r="205" spans="1:3">
      <c r="A205" s="24"/>
      <c r="B205"/>
      <c r="C205"/>
    </row>
    <row r="206" spans="1:3">
      <c r="A206" s="24"/>
      <c r="B206"/>
      <c r="C206"/>
    </row>
    <row r="207" spans="1:3">
      <c r="A207" s="24"/>
      <c r="B207"/>
      <c r="C207"/>
    </row>
    <row r="208" spans="1:3">
      <c r="A208" s="24"/>
      <c r="B208"/>
      <c r="C208"/>
    </row>
    <row r="209" spans="1:3">
      <c r="A209" s="24"/>
      <c r="B209"/>
      <c r="C209"/>
    </row>
    <row r="210" spans="1:3">
      <c r="A210" s="24"/>
      <c r="B210"/>
      <c r="C210"/>
    </row>
    <row r="211" spans="1:3">
      <c r="A211" s="24"/>
      <c r="B211"/>
      <c r="C211"/>
    </row>
    <row r="212" spans="1:3">
      <c r="A212" s="24"/>
      <c r="B212"/>
      <c r="C212"/>
    </row>
    <row r="213" spans="1:3">
      <c r="A213" s="24"/>
      <c r="B213"/>
      <c r="C213"/>
    </row>
    <row r="214" spans="1:3">
      <c r="A214" s="24"/>
      <c r="B214"/>
      <c r="C214"/>
    </row>
    <row r="215" spans="1:3">
      <c r="A215" s="24"/>
      <c r="B215"/>
      <c r="C215"/>
    </row>
    <row r="216" spans="1:3">
      <c r="A216" s="24"/>
      <c r="B216"/>
      <c r="C216"/>
    </row>
    <row r="217" spans="1:3">
      <c r="A217" s="24"/>
      <c r="B217"/>
      <c r="C217"/>
    </row>
    <row r="218" spans="1:3">
      <c r="A218" s="24"/>
      <c r="B218"/>
      <c r="C218"/>
    </row>
    <row r="219" spans="1:3">
      <c r="A219" s="24"/>
      <c r="B219"/>
      <c r="C219"/>
    </row>
    <row r="220" spans="1:3">
      <c r="A220" s="24"/>
      <c r="B220"/>
      <c r="C220"/>
    </row>
    <row r="221" spans="1:3">
      <c r="A221" s="24"/>
      <c r="B221"/>
      <c r="C221"/>
    </row>
    <row r="222" spans="1:3">
      <c r="A222" s="24"/>
      <c r="B222"/>
      <c r="C222"/>
    </row>
    <row r="223" spans="1:3">
      <c r="A223" s="24"/>
      <c r="B223"/>
      <c r="C223"/>
    </row>
    <row r="224" spans="1:3">
      <c r="A224" s="24"/>
      <c r="B224"/>
      <c r="C224"/>
    </row>
    <row r="225" spans="1:3">
      <c r="A225" s="24"/>
      <c r="B225"/>
      <c r="C225"/>
    </row>
    <row r="226" spans="1:3">
      <c r="A226" s="24"/>
      <c r="B226"/>
      <c r="C226"/>
    </row>
    <row r="227" spans="1:3">
      <c r="A227" s="24"/>
      <c r="B227"/>
      <c r="C227"/>
    </row>
    <row r="228" spans="1:3">
      <c r="A228" s="24"/>
      <c r="B228"/>
      <c r="C228"/>
    </row>
    <row r="229" spans="1:3">
      <c r="A229" s="24"/>
      <c r="B229"/>
      <c r="C229"/>
    </row>
    <row r="230" spans="1:3">
      <c r="A230" s="24"/>
      <c r="B230"/>
      <c r="C230"/>
    </row>
    <row r="231" spans="1:3">
      <c r="A231" s="24"/>
      <c r="B231"/>
      <c r="C231"/>
    </row>
    <row r="232" spans="1:3">
      <c r="A232" s="24"/>
      <c r="B232"/>
      <c r="C232"/>
    </row>
    <row r="233" spans="1:3">
      <c r="A233" s="24"/>
      <c r="B233"/>
      <c r="C233"/>
    </row>
    <row r="234" spans="1:3">
      <c r="A234" s="24"/>
      <c r="B234"/>
      <c r="C234"/>
    </row>
    <row r="235" spans="1:3">
      <c r="A235" s="24"/>
      <c r="B235"/>
      <c r="C235"/>
    </row>
    <row r="236" spans="1:3">
      <c r="A236" s="24"/>
      <c r="B236"/>
      <c r="C236"/>
    </row>
    <row r="237" spans="1:3">
      <c r="A237" s="24"/>
      <c r="B237"/>
      <c r="C237"/>
    </row>
    <row r="238" spans="1:3">
      <c r="A238" s="24"/>
      <c r="B238"/>
      <c r="C238"/>
    </row>
    <row r="239" spans="1:3">
      <c r="A239" s="24"/>
      <c r="B239"/>
      <c r="C239"/>
    </row>
    <row r="240" spans="1:3">
      <c r="A240" s="24"/>
      <c r="B240"/>
      <c r="C240"/>
    </row>
    <row r="241" spans="1:3">
      <c r="A241" s="24"/>
      <c r="B241"/>
      <c r="C241"/>
    </row>
    <row r="242" spans="1:3">
      <c r="A242" s="24"/>
      <c r="B242"/>
      <c r="C242"/>
    </row>
    <row r="243" spans="1:3">
      <c r="A243" s="24"/>
      <c r="B243"/>
      <c r="C243"/>
    </row>
    <row r="244" spans="1:3">
      <c r="A244" s="24"/>
      <c r="B244"/>
      <c r="C244"/>
    </row>
    <row r="245" spans="1:3">
      <c r="A245" s="24"/>
      <c r="B245"/>
      <c r="C245"/>
    </row>
    <row r="246" spans="1:3">
      <c r="A246" s="24"/>
      <c r="B246"/>
      <c r="C246"/>
    </row>
    <row r="247" spans="1:3">
      <c r="A247" s="24"/>
      <c r="B247"/>
      <c r="C247"/>
    </row>
    <row r="248" spans="1:3">
      <c r="A248" s="24"/>
      <c r="B248"/>
      <c r="C248"/>
    </row>
    <row r="249" spans="1:3">
      <c r="A249" s="24"/>
      <c r="B249"/>
      <c r="C249"/>
    </row>
    <row r="250" spans="1:3">
      <c r="A250" s="24"/>
      <c r="B250"/>
      <c r="C250"/>
    </row>
    <row r="251" spans="1:3">
      <c r="A251" s="24"/>
      <c r="B251"/>
      <c r="C251"/>
    </row>
    <row r="252" spans="1:3">
      <c r="A252" s="24"/>
      <c r="B252"/>
      <c r="C252"/>
    </row>
    <row r="253" spans="1:3">
      <c r="A253" s="24"/>
      <c r="B253"/>
      <c r="C253"/>
    </row>
    <row r="254" spans="1:3">
      <c r="A254" s="24"/>
      <c r="B254"/>
      <c r="C254"/>
    </row>
    <row r="255" spans="1:3">
      <c r="A255" s="24"/>
      <c r="B255"/>
      <c r="C255"/>
    </row>
    <row r="256" spans="1:3">
      <c r="A256" s="24"/>
      <c r="B256"/>
      <c r="C256"/>
    </row>
    <row r="257" spans="1:3">
      <c r="A257" s="24"/>
      <c r="B257"/>
      <c r="C257"/>
    </row>
    <row r="258" spans="1:3">
      <c r="A258" s="24"/>
      <c r="B258"/>
      <c r="C258"/>
    </row>
    <row r="259" spans="1:3">
      <c r="A259" s="24"/>
      <c r="B259"/>
      <c r="C259"/>
    </row>
    <row r="260" spans="1:3">
      <c r="A260" s="24"/>
      <c r="B260"/>
      <c r="C260"/>
    </row>
    <row r="261" spans="1:3">
      <c r="A261" s="24"/>
      <c r="B261"/>
      <c r="C261"/>
    </row>
    <row r="262" spans="1:3">
      <c r="A262" s="24"/>
      <c r="B262"/>
      <c r="C262"/>
    </row>
    <row r="263" spans="1:3">
      <c r="A263" s="24"/>
      <c r="B263"/>
      <c r="C263"/>
    </row>
    <row r="264" spans="1:3">
      <c r="A264" s="24"/>
      <c r="B264"/>
      <c r="C264"/>
    </row>
    <row r="265" spans="1:3">
      <c r="A265" s="24"/>
      <c r="B265"/>
      <c r="C265"/>
    </row>
    <row r="266" spans="1:3">
      <c r="A266" s="24"/>
      <c r="B266"/>
      <c r="C266"/>
    </row>
    <row r="267" spans="1:3">
      <c r="A267" s="24"/>
      <c r="B267"/>
      <c r="C267"/>
    </row>
    <row r="268" spans="1:3">
      <c r="A268" s="24"/>
      <c r="B268"/>
      <c r="C268"/>
    </row>
    <row r="269" spans="1:3">
      <c r="A269" s="24"/>
      <c r="B269"/>
      <c r="C269"/>
    </row>
    <row r="270" spans="1:3">
      <c r="A270" s="24"/>
      <c r="B270"/>
      <c r="C270"/>
    </row>
    <row r="271" spans="1:3">
      <c r="A271" s="24"/>
      <c r="B271"/>
      <c r="C271"/>
    </row>
    <row r="272" spans="1:3">
      <c r="A272" s="24"/>
      <c r="B272"/>
      <c r="C272"/>
    </row>
    <row r="273" spans="1:3">
      <c r="A273" s="24"/>
      <c r="B273"/>
      <c r="C273"/>
    </row>
    <row r="274" spans="1:3">
      <c r="A274" s="24"/>
      <c r="B274"/>
      <c r="C274"/>
    </row>
    <row r="275" spans="1:3">
      <c r="A275" s="24"/>
      <c r="B275"/>
      <c r="C275"/>
    </row>
    <row r="276" spans="1:3">
      <c r="A276" s="24"/>
      <c r="B276"/>
      <c r="C276"/>
    </row>
    <row r="277" spans="1:3">
      <c r="A277" s="24"/>
      <c r="B277"/>
      <c r="C277"/>
    </row>
    <row r="278" spans="1:3">
      <c r="A278" s="24"/>
      <c r="B278"/>
      <c r="C278"/>
    </row>
    <row r="279" spans="1:3">
      <c r="A279" s="24"/>
      <c r="B279"/>
      <c r="C279"/>
    </row>
    <row r="280" spans="1:3">
      <c r="A280" s="24"/>
      <c r="B280"/>
      <c r="C280"/>
    </row>
    <row r="281" spans="1:3">
      <c r="A281" s="24"/>
      <c r="B281"/>
      <c r="C281"/>
    </row>
    <row r="282" spans="1:3">
      <c r="A282" s="24"/>
      <c r="B282"/>
      <c r="C282"/>
    </row>
    <row r="283" spans="1:3">
      <c r="A283" s="24"/>
      <c r="B283"/>
      <c r="C283"/>
    </row>
    <row r="284" spans="1:3">
      <c r="A284" s="24"/>
      <c r="B284"/>
      <c r="C284"/>
    </row>
    <row r="285" spans="1:3">
      <c r="A285" s="24"/>
      <c r="B285"/>
      <c r="C285"/>
    </row>
    <row r="286" spans="1:3">
      <c r="A286" s="24"/>
      <c r="B286"/>
      <c r="C286"/>
    </row>
    <row r="287" spans="1:3">
      <c r="A287" s="24"/>
      <c r="B287"/>
      <c r="C287"/>
    </row>
    <row r="288" spans="1:3">
      <c r="A288" s="24"/>
      <c r="B288"/>
      <c r="C288"/>
    </row>
    <row r="289" spans="1:3">
      <c r="A289" s="24"/>
      <c r="B289"/>
      <c r="C289"/>
    </row>
    <row r="290" spans="1:3">
      <c r="A290" s="24"/>
      <c r="B290"/>
      <c r="C290"/>
    </row>
    <row r="291" spans="1:3">
      <c r="A291" s="24"/>
      <c r="B291"/>
      <c r="C291"/>
    </row>
    <row r="292" spans="1:3">
      <c r="A292" s="24"/>
      <c r="B292"/>
      <c r="C292"/>
    </row>
    <row r="293" spans="1:3">
      <c r="A293" s="24"/>
      <c r="B293"/>
      <c r="C293"/>
    </row>
    <row r="294" spans="1:3">
      <c r="A294" s="24"/>
      <c r="B294"/>
      <c r="C294"/>
    </row>
    <row r="295" spans="1:3">
      <c r="A295" s="24"/>
      <c r="B295"/>
      <c r="C295"/>
    </row>
    <row r="296" spans="1:3">
      <c r="A296" s="24"/>
      <c r="B296"/>
      <c r="C296"/>
    </row>
    <row r="297" spans="1:3">
      <c r="A297" s="24"/>
      <c r="B297"/>
      <c r="C297"/>
    </row>
    <row r="298" spans="1:3">
      <c r="A298" s="24"/>
      <c r="B298"/>
      <c r="C298"/>
    </row>
    <row r="299" spans="1:3">
      <c r="A299" s="24"/>
      <c r="B299"/>
      <c r="C299"/>
    </row>
    <row r="300" spans="1:3">
      <c r="A300" s="24"/>
      <c r="B300"/>
      <c r="C300"/>
    </row>
    <row r="301" spans="1:3">
      <c r="A301" s="24"/>
      <c r="B301"/>
      <c r="C301"/>
    </row>
    <row r="302" spans="1:3">
      <c r="A302" s="24"/>
      <c r="B302"/>
      <c r="C302"/>
    </row>
    <row r="303" spans="1:3">
      <c r="A303" s="24"/>
      <c r="B303"/>
      <c r="C303"/>
    </row>
    <row r="304" spans="1:3">
      <c r="A304" s="24"/>
      <c r="B304"/>
      <c r="C304"/>
    </row>
    <row r="305" spans="1:3">
      <c r="A305" s="24"/>
      <c r="B305"/>
      <c r="C305"/>
    </row>
    <row r="306" spans="1:3">
      <c r="A306" s="24"/>
      <c r="B306"/>
      <c r="C306"/>
    </row>
    <row r="307" spans="1:3">
      <c r="A307" s="24"/>
      <c r="B307"/>
      <c r="C307"/>
    </row>
    <row r="308" spans="1:3">
      <c r="A308" s="24"/>
      <c r="B308"/>
      <c r="C308"/>
    </row>
    <row r="309" spans="1:3">
      <c r="A309" s="24"/>
      <c r="B309"/>
      <c r="C309"/>
    </row>
    <row r="310" spans="1:3">
      <c r="A310" s="24"/>
      <c r="B310"/>
      <c r="C310"/>
    </row>
    <row r="311" spans="1:3">
      <c r="A311" s="24"/>
      <c r="B311"/>
      <c r="C311"/>
    </row>
    <row r="312" spans="1:3">
      <c r="A312" s="24"/>
      <c r="B312"/>
      <c r="C312"/>
    </row>
    <row r="313" spans="1:3">
      <c r="A313" s="24"/>
      <c r="B313"/>
      <c r="C313"/>
    </row>
    <row r="314" spans="1:3">
      <c r="A314" s="24"/>
      <c r="B314"/>
      <c r="C314"/>
    </row>
    <row r="315" spans="1:3">
      <c r="A315" s="24"/>
      <c r="B315"/>
      <c r="C315"/>
    </row>
    <row r="316" spans="1:3">
      <c r="A316" s="24"/>
      <c r="B316"/>
      <c r="C316"/>
    </row>
    <row r="317" spans="1:3">
      <c r="A317" s="24"/>
      <c r="B317"/>
      <c r="C317"/>
    </row>
    <row r="318" spans="1:3">
      <c r="A318" s="24"/>
      <c r="B318"/>
      <c r="C318"/>
    </row>
    <row r="319" spans="1:3">
      <c r="A319" s="24"/>
      <c r="B319"/>
      <c r="C319"/>
    </row>
    <row r="320" spans="1:3">
      <c r="A320" s="24"/>
      <c r="B320"/>
      <c r="C320"/>
    </row>
    <row r="321" spans="1:3">
      <c r="A321" s="24"/>
      <c r="B321"/>
      <c r="C321"/>
    </row>
    <row r="322" spans="1:3">
      <c r="A322" s="24"/>
      <c r="B322"/>
      <c r="C322"/>
    </row>
    <row r="323" spans="1:3">
      <c r="A323" s="24"/>
      <c r="B323"/>
      <c r="C323"/>
    </row>
    <row r="324" spans="1:3">
      <c r="A324" s="24"/>
      <c r="B324"/>
      <c r="C324"/>
    </row>
    <row r="325" spans="1:3">
      <c r="A325" s="24"/>
      <c r="B325"/>
      <c r="C325"/>
    </row>
    <row r="326" spans="1:3">
      <c r="A326" s="24"/>
      <c r="B326"/>
      <c r="C326"/>
    </row>
    <row r="327" spans="1:3">
      <c r="A327" s="24"/>
      <c r="B327"/>
      <c r="C327"/>
    </row>
    <row r="328" spans="1:3">
      <c r="A328" s="24"/>
      <c r="B328"/>
      <c r="C328"/>
    </row>
    <row r="329" spans="1:3">
      <c r="A329" s="24"/>
      <c r="B329"/>
      <c r="C329"/>
    </row>
    <row r="330" spans="1:3">
      <c r="A330" s="24"/>
      <c r="B330"/>
      <c r="C330"/>
    </row>
    <row r="331" spans="1:3">
      <c r="A331" s="24"/>
      <c r="B331"/>
      <c r="C331"/>
    </row>
    <row r="332" spans="1:3">
      <c r="A332" s="24"/>
      <c r="B332"/>
      <c r="C332"/>
    </row>
    <row r="333" spans="1:3">
      <c r="A333" s="24"/>
      <c r="B333"/>
      <c r="C333"/>
    </row>
    <row r="334" spans="1:3">
      <c r="A334" s="24"/>
      <c r="B334"/>
      <c r="C334"/>
    </row>
    <row r="335" spans="1:3">
      <c r="A335" s="24"/>
      <c r="B335"/>
      <c r="C335"/>
    </row>
    <row r="336" spans="1:3">
      <c r="A336" s="24"/>
      <c r="B336"/>
      <c r="C336"/>
    </row>
    <row r="337" spans="1:3">
      <c r="A337" s="24"/>
      <c r="B337"/>
      <c r="C337"/>
    </row>
    <row r="338" spans="1:3">
      <c r="A338" s="24"/>
      <c r="B338"/>
      <c r="C338"/>
    </row>
    <row r="339" spans="1:3">
      <c r="A339" s="24"/>
      <c r="B339"/>
      <c r="C339"/>
    </row>
    <row r="340" spans="1:3">
      <c r="A340" s="24"/>
      <c r="B340"/>
      <c r="C340"/>
    </row>
    <row r="341" spans="1:3">
      <c r="A341" s="24"/>
      <c r="B341"/>
      <c r="C341"/>
    </row>
    <row r="342" spans="1:3">
      <c r="A342" s="24"/>
      <c r="B342"/>
      <c r="C342"/>
    </row>
    <row r="343" spans="1:3">
      <c r="A343" s="24"/>
      <c r="B343"/>
      <c r="C343"/>
    </row>
    <row r="344" spans="1:3">
      <c r="A344" s="24"/>
      <c r="B344"/>
      <c r="C344"/>
    </row>
    <row r="345" spans="1:3">
      <c r="A345" s="24"/>
      <c r="B345"/>
      <c r="C345"/>
    </row>
    <row r="346" spans="1:3">
      <c r="A346" s="24"/>
      <c r="B346"/>
      <c r="C346"/>
    </row>
    <row r="347" spans="1:3">
      <c r="A347" s="24"/>
      <c r="B347"/>
      <c r="C347"/>
    </row>
    <row r="348" spans="1:3">
      <c r="A348" s="24"/>
      <c r="B348"/>
      <c r="C348"/>
    </row>
    <row r="349" spans="1:3">
      <c r="A349" s="24"/>
      <c r="B349"/>
      <c r="C349"/>
    </row>
    <row r="350" spans="1:3">
      <c r="A350" s="24"/>
      <c r="B350"/>
      <c r="C350"/>
    </row>
    <row r="351" spans="1:3">
      <c r="A351" s="24"/>
      <c r="B351"/>
      <c r="C351"/>
    </row>
    <row r="352" spans="1:3">
      <c r="A352" s="24"/>
      <c r="B352"/>
      <c r="C352"/>
    </row>
    <row r="353" spans="1:3">
      <c r="A353" s="24"/>
      <c r="B353"/>
      <c r="C353"/>
    </row>
    <row r="354" spans="1:3">
      <c r="A354" s="24"/>
      <c r="B354"/>
      <c r="C354"/>
    </row>
    <row r="355" spans="1:3">
      <c r="A355" s="24"/>
      <c r="B355"/>
      <c r="C355"/>
    </row>
    <row r="356" spans="1:3">
      <c r="A356" s="24"/>
      <c r="B356"/>
      <c r="C356"/>
    </row>
    <row r="357" spans="1:3">
      <c r="A357" s="24"/>
      <c r="B357"/>
      <c r="C357"/>
    </row>
    <row r="358" spans="1:3">
      <c r="A358" s="24"/>
      <c r="B358"/>
      <c r="C358"/>
    </row>
    <row r="359" spans="1:3">
      <c r="A359" s="24"/>
      <c r="B359"/>
      <c r="C359"/>
    </row>
    <row r="360" spans="1:3">
      <c r="A360" s="24"/>
      <c r="B360"/>
      <c r="C360"/>
    </row>
    <row r="361" spans="1:3">
      <c r="A361" s="24"/>
      <c r="B361"/>
      <c r="C361"/>
    </row>
    <row r="362" spans="1:3">
      <c r="A362" s="24"/>
      <c r="B362"/>
      <c r="C362"/>
    </row>
    <row r="363" spans="1:3">
      <c r="A363" s="24"/>
      <c r="B363"/>
      <c r="C363"/>
    </row>
    <row r="364" spans="1:3">
      <c r="A364" s="24"/>
      <c r="B364"/>
      <c r="C364"/>
    </row>
    <row r="365" spans="1:3">
      <c r="A365" s="24"/>
      <c r="B365"/>
      <c r="C365"/>
    </row>
    <row r="366" spans="1:3">
      <c r="A366" s="24"/>
      <c r="B366"/>
      <c r="C366"/>
    </row>
    <row r="367" spans="1:3">
      <c r="A367" s="24"/>
      <c r="B367"/>
      <c r="C367"/>
    </row>
    <row r="368" spans="1:3">
      <c r="A368" s="24"/>
      <c r="B368"/>
      <c r="C368"/>
    </row>
    <row r="369" spans="1:3">
      <c r="A369" s="24"/>
      <c r="B369"/>
      <c r="C369"/>
    </row>
    <row r="370" spans="1:3">
      <c r="A370" s="24"/>
      <c r="B370"/>
      <c r="C370"/>
    </row>
    <row r="371" spans="1:3">
      <c r="A371" s="24"/>
      <c r="B371"/>
      <c r="C371"/>
    </row>
    <row r="372" spans="1:3">
      <c r="A372" s="24"/>
      <c r="B372"/>
      <c r="C372"/>
    </row>
    <row r="373" spans="1:3">
      <c r="A373" s="24"/>
      <c r="B373"/>
      <c r="C373"/>
    </row>
    <row r="374" spans="1:3">
      <c r="A374" s="24"/>
      <c r="B374"/>
      <c r="C374"/>
    </row>
    <row r="375" spans="1:3">
      <c r="A375" s="24"/>
      <c r="B375"/>
      <c r="C375"/>
    </row>
    <row r="376" spans="1:3">
      <c r="A376" s="24"/>
      <c r="B376"/>
      <c r="C376"/>
    </row>
    <row r="377" spans="1:3">
      <c r="A377" s="24"/>
      <c r="B377"/>
      <c r="C377"/>
    </row>
    <row r="378" spans="1:3">
      <c r="A378" s="24"/>
      <c r="B378"/>
      <c r="C378"/>
    </row>
    <row r="379" spans="1:3">
      <c r="A379" s="24"/>
      <c r="B379"/>
      <c r="C379"/>
    </row>
    <row r="380" spans="1:3">
      <c r="A380" s="24"/>
      <c r="B380"/>
      <c r="C380"/>
    </row>
    <row r="381" spans="1:3">
      <c r="A381" s="24"/>
      <c r="B381"/>
      <c r="C381"/>
    </row>
    <row r="382" spans="1:3">
      <c r="A382" s="24"/>
      <c r="B382"/>
      <c r="C382"/>
    </row>
    <row r="383" spans="1:3">
      <c r="A383" s="24"/>
      <c r="B383"/>
      <c r="C383"/>
    </row>
    <row r="384" spans="1:3">
      <c r="A384" s="24"/>
      <c r="B384"/>
      <c r="C384"/>
    </row>
    <row r="385" spans="1:3">
      <c r="A385" s="24"/>
      <c r="B385"/>
      <c r="C385"/>
    </row>
    <row r="386" spans="1:3">
      <c r="A386" s="24"/>
      <c r="B386"/>
      <c r="C386"/>
    </row>
    <row r="387" spans="1:3">
      <c r="A387" s="24"/>
      <c r="B387"/>
      <c r="C387"/>
    </row>
    <row r="388" spans="1:3">
      <c r="A388" s="24"/>
      <c r="B388"/>
      <c r="C388"/>
    </row>
    <row r="389" spans="1:3">
      <c r="A389" s="24"/>
      <c r="B389"/>
      <c r="C389"/>
    </row>
    <row r="390" spans="1:3">
      <c r="A390" s="24"/>
      <c r="B390"/>
      <c r="C390"/>
    </row>
    <row r="391" spans="1:3">
      <c r="A391" s="24"/>
      <c r="B391"/>
      <c r="C391"/>
    </row>
    <row r="392" spans="1:3">
      <c r="A392" s="24"/>
      <c r="B392"/>
      <c r="C392"/>
    </row>
    <row r="393" spans="1:3">
      <c r="A393" s="24"/>
      <c r="B393"/>
      <c r="C393"/>
    </row>
    <row r="394" spans="1:3">
      <c r="A394" s="24"/>
      <c r="B394"/>
      <c r="C394"/>
    </row>
    <row r="395" spans="1:3">
      <c r="A395" s="24"/>
      <c r="B395"/>
      <c r="C395"/>
    </row>
    <row r="396" spans="1:3">
      <c r="A396" s="24"/>
      <c r="B396"/>
      <c r="C396"/>
    </row>
    <row r="397" spans="1:3">
      <c r="A397" s="24"/>
      <c r="B397"/>
      <c r="C397"/>
    </row>
    <row r="398" spans="1:3">
      <c r="A398" s="24"/>
      <c r="B398"/>
      <c r="C398"/>
    </row>
    <row r="399" spans="1:3">
      <c r="A399" s="24"/>
      <c r="B399"/>
      <c r="C399"/>
    </row>
    <row r="400" spans="1:3">
      <c r="A400" s="24"/>
      <c r="B400"/>
      <c r="C400"/>
    </row>
    <row r="401" spans="1:3">
      <c r="A401" s="24"/>
      <c r="B401"/>
      <c r="C401"/>
    </row>
    <row r="402" spans="1:3">
      <c r="A402" s="24"/>
      <c r="B402"/>
      <c r="C402"/>
    </row>
    <row r="403" spans="1:3">
      <c r="A403" s="24"/>
      <c r="B403"/>
      <c r="C403"/>
    </row>
    <row r="404" spans="1:3">
      <c r="A404" s="24"/>
      <c r="B404"/>
      <c r="C404"/>
    </row>
    <row r="405" spans="1:3">
      <c r="A405" s="24"/>
      <c r="B405"/>
      <c r="C405"/>
    </row>
    <row r="406" spans="1:3">
      <c r="A406" s="24"/>
      <c r="B406"/>
      <c r="C406"/>
    </row>
    <row r="407" spans="1:3">
      <c r="A407" s="24"/>
      <c r="B407"/>
      <c r="C407"/>
    </row>
    <row r="408" spans="1:3">
      <c r="A408" s="24"/>
      <c r="B408"/>
      <c r="C408"/>
    </row>
    <row r="409" spans="1:3">
      <c r="A409" s="24"/>
      <c r="B409"/>
      <c r="C409"/>
    </row>
    <row r="410" spans="1:3">
      <c r="A410" s="24"/>
      <c r="B410"/>
      <c r="C410"/>
    </row>
    <row r="411" spans="1:3">
      <c r="A411" s="24"/>
      <c r="B411"/>
      <c r="C411"/>
    </row>
    <row r="412" spans="1:3">
      <c r="A412" s="24"/>
      <c r="B412"/>
      <c r="C412"/>
    </row>
    <row r="413" spans="1:3">
      <c r="A413" s="24"/>
      <c r="B413"/>
      <c r="C413"/>
    </row>
    <row r="414" spans="1:3">
      <c r="A414" s="24"/>
      <c r="B414"/>
      <c r="C414"/>
    </row>
    <row r="415" spans="1:3">
      <c r="A415" s="24"/>
      <c r="B415"/>
      <c r="C415"/>
    </row>
    <row r="416" spans="1:3">
      <c r="A416" s="24"/>
      <c r="B416"/>
      <c r="C416"/>
    </row>
    <row r="417" spans="1:3">
      <c r="A417" s="24"/>
      <c r="B417"/>
      <c r="C417"/>
    </row>
    <row r="418" spans="1:3">
      <c r="A418" s="24"/>
      <c r="B418"/>
      <c r="C418"/>
    </row>
    <row r="419" spans="1:3">
      <c r="A419" s="24"/>
      <c r="B419"/>
      <c r="C419"/>
    </row>
    <row r="420" spans="1:3">
      <c r="A420" s="24"/>
      <c r="B420"/>
      <c r="C420"/>
    </row>
    <row r="421" spans="1:3">
      <c r="A421" s="24"/>
      <c r="B421"/>
      <c r="C421"/>
    </row>
    <row r="422" spans="1:3">
      <c r="A422" s="24"/>
      <c r="B422"/>
      <c r="C422"/>
    </row>
    <row r="423" spans="1:3">
      <c r="A423" s="24"/>
      <c r="B423"/>
      <c r="C423"/>
    </row>
    <row r="424" spans="1:3">
      <c r="A424" s="24"/>
      <c r="B424"/>
      <c r="C424"/>
    </row>
    <row r="425" spans="1:3">
      <c r="A425" s="24"/>
      <c r="B425"/>
      <c r="C425"/>
    </row>
    <row r="426" spans="1:3">
      <c r="A426" s="24"/>
      <c r="B426"/>
      <c r="C426"/>
    </row>
    <row r="427" spans="1:3">
      <c r="A427" s="24"/>
      <c r="B427"/>
      <c r="C427"/>
    </row>
    <row r="428" spans="1:3">
      <c r="A428" s="24"/>
      <c r="B428"/>
      <c r="C428"/>
    </row>
    <row r="429" spans="1:3">
      <c r="A429" s="24"/>
      <c r="B429"/>
      <c r="C429"/>
    </row>
    <row r="430" spans="1:3">
      <c r="A430" s="24"/>
      <c r="B430"/>
      <c r="C430"/>
    </row>
    <row r="431" spans="1:3">
      <c r="A431" s="24"/>
      <c r="B431"/>
      <c r="C431"/>
    </row>
    <row r="432" spans="1:3">
      <c r="A432" s="24"/>
      <c r="B432"/>
      <c r="C432"/>
    </row>
    <row r="433" spans="1:3">
      <c r="A433" s="24"/>
      <c r="B433"/>
      <c r="C433"/>
    </row>
    <row r="434" spans="1:3">
      <c r="A434" s="24"/>
      <c r="B434"/>
      <c r="C434"/>
    </row>
    <row r="435" spans="1:3">
      <c r="A435" s="24"/>
      <c r="B435"/>
      <c r="C435"/>
    </row>
    <row r="436" spans="1:3">
      <c r="A436" s="24"/>
      <c r="B436"/>
      <c r="C436"/>
    </row>
    <row r="437" spans="1:3">
      <c r="A437" s="24"/>
      <c r="B437"/>
      <c r="C437"/>
    </row>
    <row r="438" spans="1:3">
      <c r="A438" s="24"/>
      <c r="B438"/>
      <c r="C438"/>
    </row>
    <row r="439" spans="1:3">
      <c r="A439" s="24"/>
      <c r="B439"/>
      <c r="C439"/>
    </row>
    <row r="440" spans="1:3">
      <c r="A440" s="24"/>
      <c r="B440"/>
      <c r="C440"/>
    </row>
    <row r="441" spans="1:3">
      <c r="A441" s="24"/>
      <c r="B441"/>
      <c r="C441"/>
    </row>
    <row r="442" spans="1:3">
      <c r="A442" s="24"/>
      <c r="B442"/>
      <c r="C442"/>
    </row>
    <row r="443" spans="1:3">
      <c r="A443" s="24"/>
      <c r="B443"/>
      <c r="C443"/>
    </row>
    <row r="444" spans="1:3">
      <c r="A444" s="24"/>
      <c r="B444"/>
      <c r="C444"/>
    </row>
    <row r="445" spans="1:3">
      <c r="A445" s="24"/>
      <c r="B445"/>
      <c r="C445"/>
    </row>
    <row r="446" spans="1:3">
      <c r="A446" s="24"/>
      <c r="B446"/>
      <c r="C446"/>
    </row>
    <row r="447" spans="1:3">
      <c r="A447" s="24"/>
      <c r="B447"/>
      <c r="C447"/>
    </row>
    <row r="448" spans="1:3">
      <c r="A448" s="24"/>
      <c r="B448"/>
      <c r="C448"/>
    </row>
    <row r="449" spans="1:3">
      <c r="A449" s="24"/>
      <c r="B449"/>
      <c r="C449"/>
    </row>
    <row r="450" spans="1:3">
      <c r="A450" s="24"/>
      <c r="B450"/>
      <c r="C450"/>
    </row>
    <row r="451" spans="1:3">
      <c r="A451" s="24"/>
      <c r="B451"/>
      <c r="C451"/>
    </row>
    <row r="452" spans="1:3">
      <c r="A452" s="24"/>
      <c r="B452"/>
      <c r="C452"/>
    </row>
    <row r="453" spans="1:3">
      <c r="A453" s="24"/>
      <c r="B453"/>
      <c r="C453"/>
    </row>
    <row r="454" spans="1:3">
      <c r="A454" s="24"/>
      <c r="B454"/>
      <c r="C454"/>
    </row>
    <row r="455" spans="1:3">
      <c r="A455" s="24"/>
      <c r="B455"/>
      <c r="C455"/>
    </row>
    <row r="456" spans="1:3">
      <c r="A456" s="24"/>
      <c r="B456"/>
      <c r="C456"/>
    </row>
    <row r="457" spans="1:3">
      <c r="A457" s="24"/>
      <c r="B457"/>
      <c r="C457"/>
    </row>
    <row r="458" spans="1:3">
      <c r="A458" s="24"/>
      <c r="B458"/>
      <c r="C458"/>
    </row>
    <row r="459" spans="1:3">
      <c r="A459" s="24"/>
      <c r="B459"/>
      <c r="C459"/>
    </row>
    <row r="460" spans="1:3">
      <c r="A460" s="24"/>
      <c r="B460"/>
      <c r="C460"/>
    </row>
    <row r="461" spans="1:3">
      <c r="A461" s="24"/>
      <c r="B461"/>
      <c r="C461"/>
    </row>
    <row r="462" spans="1:3">
      <c r="A462" s="24"/>
      <c r="B462"/>
      <c r="C462"/>
    </row>
    <row r="463" spans="1:3">
      <c r="A463" s="24"/>
      <c r="B463"/>
      <c r="C463"/>
    </row>
    <row r="464" spans="1:3">
      <c r="A464" s="24"/>
      <c r="B464"/>
      <c r="C464"/>
    </row>
    <row r="465" spans="1:3">
      <c r="A465" s="24"/>
      <c r="B465"/>
      <c r="C465"/>
    </row>
    <row r="466" spans="1:3">
      <c r="A466" s="24"/>
      <c r="B466"/>
      <c r="C466"/>
    </row>
    <row r="467" spans="1:3">
      <c r="A467" s="24"/>
      <c r="B467"/>
      <c r="C467"/>
    </row>
    <row r="468" spans="1:3">
      <c r="A468" s="24"/>
      <c r="B468"/>
      <c r="C468"/>
    </row>
    <row r="469" spans="1:3">
      <c r="A469" s="24"/>
      <c r="B469"/>
      <c r="C469"/>
    </row>
    <row r="470" spans="1:3">
      <c r="A470" s="24"/>
      <c r="B470"/>
      <c r="C470"/>
    </row>
    <row r="471" spans="1:3">
      <c r="A471" s="24"/>
      <c r="B471"/>
      <c r="C471"/>
    </row>
    <row r="472" spans="1:3">
      <c r="A472" s="24"/>
      <c r="B472"/>
      <c r="C472"/>
    </row>
    <row r="473" spans="1:3">
      <c r="A473" s="24"/>
      <c r="B473"/>
      <c r="C473"/>
    </row>
    <row r="474" spans="1:3">
      <c r="A474" s="24"/>
      <c r="B474"/>
      <c r="C474"/>
    </row>
    <row r="475" spans="1:3">
      <c r="A475" s="24"/>
      <c r="B475"/>
      <c r="C475"/>
    </row>
    <row r="476" spans="1:3">
      <c r="A476" s="24"/>
      <c r="B476"/>
      <c r="C476"/>
    </row>
    <row r="477" spans="1:3">
      <c r="A477" s="24"/>
      <c r="B477"/>
      <c r="C477"/>
    </row>
    <row r="478" spans="1:3">
      <c r="A478" s="24"/>
      <c r="B478"/>
      <c r="C478"/>
    </row>
    <row r="479" spans="1:3">
      <c r="A479" s="24"/>
      <c r="B479"/>
      <c r="C479"/>
    </row>
    <row r="480" spans="1:3">
      <c r="A480" s="24"/>
      <c r="B480"/>
      <c r="C480"/>
    </row>
    <row r="481" spans="1:3">
      <c r="A481" s="24"/>
      <c r="B481"/>
      <c r="C481"/>
    </row>
    <row r="482" spans="1:3">
      <c r="A482" s="24"/>
      <c r="B482"/>
      <c r="C482"/>
    </row>
    <row r="483" spans="1:3">
      <c r="A483" s="24"/>
      <c r="B483"/>
      <c r="C483"/>
    </row>
    <row r="484" spans="1:3">
      <c r="A484" s="24"/>
      <c r="B484"/>
      <c r="C484"/>
    </row>
    <row r="485" spans="1:3">
      <c r="A485" s="24"/>
      <c r="B485"/>
      <c r="C485"/>
    </row>
    <row r="486" spans="1:3">
      <c r="A486" s="24"/>
      <c r="B486"/>
      <c r="C486"/>
    </row>
    <row r="487" spans="1:3">
      <c r="A487" s="24"/>
      <c r="B487"/>
      <c r="C487"/>
    </row>
    <row r="488" spans="1:3">
      <c r="A488" s="24"/>
      <c r="B488"/>
      <c r="C488"/>
    </row>
    <row r="489" spans="1:3">
      <c r="A489" s="24"/>
      <c r="B489"/>
      <c r="C489"/>
    </row>
    <row r="490" spans="1:3">
      <c r="A490" s="24"/>
      <c r="B490"/>
      <c r="C490"/>
    </row>
    <row r="491" spans="1:3">
      <c r="A491" s="24"/>
      <c r="B491"/>
      <c r="C491"/>
    </row>
    <row r="492" spans="1:3">
      <c r="A492" s="24"/>
      <c r="B492"/>
      <c r="C492"/>
    </row>
    <row r="493" spans="1:3">
      <c r="A493" s="24"/>
      <c r="B493"/>
      <c r="C493"/>
    </row>
    <row r="494" spans="1:3">
      <c r="A494" s="24"/>
      <c r="B494"/>
      <c r="C494"/>
    </row>
    <row r="495" spans="1:3">
      <c r="A495" s="24"/>
      <c r="B495"/>
      <c r="C495"/>
    </row>
    <row r="496" spans="1:3">
      <c r="A496" s="24"/>
      <c r="B496"/>
      <c r="C496"/>
    </row>
    <row r="497" spans="1:3">
      <c r="A497" s="24"/>
      <c r="B497"/>
      <c r="C497"/>
    </row>
    <row r="498" spans="1:3">
      <c r="A498" s="24"/>
      <c r="B498"/>
      <c r="C498"/>
    </row>
    <row r="499" spans="1:3">
      <c r="A499" s="24"/>
      <c r="B499"/>
      <c r="C499"/>
    </row>
    <row r="500" spans="1:3">
      <c r="A500" s="24"/>
      <c r="B500"/>
      <c r="C500"/>
    </row>
    <row r="501" spans="1:3">
      <c r="A501" s="24"/>
      <c r="B501"/>
      <c r="C501"/>
    </row>
    <row r="502" spans="1:3">
      <c r="A502" s="24"/>
      <c r="B502"/>
      <c r="C502"/>
    </row>
    <row r="503" spans="1:3">
      <c r="A503" s="24"/>
      <c r="B503"/>
      <c r="C503"/>
    </row>
    <row r="504" spans="1:3">
      <c r="A504" s="24"/>
      <c r="B504"/>
      <c r="C504"/>
    </row>
    <row r="505" spans="1:3">
      <c r="A505" s="24"/>
      <c r="B505"/>
      <c r="C505"/>
    </row>
    <row r="506" spans="1:3">
      <c r="A506" s="24"/>
      <c r="B506"/>
      <c r="C506"/>
    </row>
    <row r="507" spans="1:3">
      <c r="A507" s="24"/>
      <c r="B507"/>
      <c r="C507"/>
    </row>
    <row r="508" spans="1:3">
      <c r="A508" s="24"/>
      <c r="B508"/>
      <c r="C508"/>
    </row>
    <row r="509" spans="1:3">
      <c r="A509" s="24"/>
      <c r="B509"/>
      <c r="C509"/>
    </row>
    <row r="510" spans="1:3">
      <c r="A510" s="24"/>
      <c r="B510"/>
      <c r="C510"/>
    </row>
    <row r="511" spans="1:3">
      <c r="A511" s="24"/>
      <c r="B511"/>
      <c r="C511"/>
    </row>
    <row r="512" spans="1:3">
      <c r="A512" s="24"/>
      <c r="B512"/>
      <c r="C512"/>
    </row>
    <row r="513" spans="1:3">
      <c r="A513" s="24"/>
      <c r="B513"/>
      <c r="C513"/>
    </row>
    <row r="514" spans="1:3">
      <c r="A514" s="24"/>
      <c r="B514"/>
      <c r="C514"/>
    </row>
    <row r="515" spans="1:3">
      <c r="A515" s="24"/>
      <c r="B515"/>
      <c r="C515"/>
    </row>
    <row r="516" spans="1:3">
      <c r="A516" s="24"/>
      <c r="B516"/>
      <c r="C516"/>
    </row>
    <row r="517" spans="1:3">
      <c r="A517" s="24"/>
      <c r="B517"/>
      <c r="C517"/>
    </row>
    <row r="518" spans="1:3">
      <c r="A518" s="24"/>
      <c r="B518"/>
      <c r="C518"/>
    </row>
    <row r="519" spans="1:3">
      <c r="A519" s="24"/>
      <c r="B519"/>
      <c r="C519"/>
    </row>
    <row r="520" spans="1:3">
      <c r="A520" s="24"/>
      <c r="B520"/>
      <c r="C520"/>
    </row>
    <row r="521" spans="1:3">
      <c r="A521" s="24"/>
      <c r="B521"/>
      <c r="C521"/>
    </row>
    <row r="522" spans="1:3">
      <c r="A522" s="24"/>
      <c r="B522"/>
      <c r="C522"/>
    </row>
    <row r="523" spans="1:3">
      <c r="A523" s="24"/>
      <c r="B523"/>
      <c r="C523"/>
    </row>
    <row r="524" spans="1:3">
      <c r="A524" s="24"/>
      <c r="B524"/>
      <c r="C524"/>
    </row>
    <row r="525" spans="1:3">
      <c r="A525" s="24"/>
      <c r="B525"/>
      <c r="C525"/>
    </row>
    <row r="526" spans="1:3">
      <c r="A526" s="24"/>
      <c r="B526"/>
      <c r="C526"/>
    </row>
    <row r="527" spans="1:3">
      <c r="A527" s="24"/>
      <c r="B527"/>
      <c r="C527"/>
    </row>
    <row r="528" spans="1:3">
      <c r="A528" s="24"/>
      <c r="B528"/>
      <c r="C528"/>
    </row>
    <row r="529" spans="1:3">
      <c r="A529" s="24"/>
      <c r="B529"/>
      <c r="C529"/>
    </row>
    <row r="530" spans="1:3">
      <c r="A530" s="24"/>
      <c r="B530"/>
      <c r="C530"/>
    </row>
    <row r="531" spans="1:3">
      <c r="A531" s="24"/>
      <c r="B531"/>
      <c r="C531"/>
    </row>
    <row r="532" spans="1:3">
      <c r="A532" s="24"/>
      <c r="B532"/>
      <c r="C532"/>
    </row>
    <row r="533" spans="1:3">
      <c r="A533" s="24"/>
      <c r="B533"/>
      <c r="C533"/>
    </row>
    <row r="534" spans="1:3">
      <c r="A534" s="24"/>
      <c r="B534"/>
      <c r="C534"/>
    </row>
    <row r="535" spans="1:3">
      <c r="A535" s="24"/>
      <c r="B535"/>
      <c r="C535"/>
    </row>
    <row r="536" spans="1:3">
      <c r="A536" s="24"/>
      <c r="B536"/>
      <c r="C536"/>
    </row>
    <row r="537" spans="1:3">
      <c r="A537" s="24"/>
      <c r="B537"/>
      <c r="C537"/>
    </row>
    <row r="538" spans="1:3">
      <c r="A538" s="24"/>
      <c r="B538"/>
      <c r="C538"/>
    </row>
    <row r="539" spans="1:3">
      <c r="A539" s="24"/>
      <c r="B539"/>
      <c r="C539"/>
    </row>
    <row r="540" spans="1:3">
      <c r="A540" s="24"/>
      <c r="B540"/>
      <c r="C540"/>
    </row>
    <row r="541" spans="1:3">
      <c r="A541" s="24"/>
      <c r="B541"/>
      <c r="C541"/>
    </row>
    <row r="542" spans="1:3">
      <c r="A542" s="24"/>
      <c r="B542"/>
      <c r="C542"/>
    </row>
    <row r="543" spans="1:3">
      <c r="A543" s="24"/>
      <c r="B543"/>
      <c r="C543"/>
    </row>
    <row r="544" spans="1:3">
      <c r="A544" s="24"/>
      <c r="B544"/>
      <c r="C544"/>
    </row>
    <row r="545" spans="1:3">
      <c r="A545" s="24"/>
      <c r="B545"/>
      <c r="C545"/>
    </row>
    <row r="546" spans="1:3">
      <c r="A546" s="24"/>
      <c r="B546"/>
      <c r="C546"/>
    </row>
    <row r="547" spans="1:3">
      <c r="A547" s="24"/>
      <c r="B547"/>
      <c r="C547"/>
    </row>
    <row r="548" spans="1:3">
      <c r="A548" s="24"/>
      <c r="B548"/>
      <c r="C548"/>
    </row>
    <row r="549" spans="1:3">
      <c r="A549" s="24"/>
      <c r="B549"/>
      <c r="C549"/>
    </row>
    <row r="550" spans="1:3">
      <c r="A550" s="24"/>
      <c r="B550"/>
      <c r="C550"/>
    </row>
    <row r="551" spans="1:3">
      <c r="A551" s="24"/>
      <c r="B551"/>
      <c r="C551"/>
    </row>
    <row r="552" spans="1:3">
      <c r="A552" s="24"/>
      <c r="B552"/>
      <c r="C552"/>
    </row>
    <row r="553" spans="1:3">
      <c r="A553" s="24"/>
      <c r="B553"/>
      <c r="C553"/>
    </row>
    <row r="554" spans="1:3">
      <c r="A554" s="24"/>
      <c r="B554"/>
      <c r="C554"/>
    </row>
    <row r="555" spans="1:3">
      <c r="A555" s="24"/>
      <c r="B555"/>
      <c r="C555"/>
    </row>
    <row r="556" spans="1:3">
      <c r="A556" s="24"/>
      <c r="B556"/>
      <c r="C556"/>
    </row>
    <row r="557" spans="1:3">
      <c r="A557" s="24"/>
      <c r="B557"/>
      <c r="C557"/>
    </row>
    <row r="558" spans="1:3">
      <c r="A558" s="24"/>
      <c r="B558"/>
      <c r="C558"/>
    </row>
    <row r="559" spans="1:3">
      <c r="A559" s="24"/>
      <c r="B559"/>
      <c r="C559"/>
    </row>
    <row r="560" spans="1:3">
      <c r="A560" s="24"/>
      <c r="B560"/>
      <c r="C560"/>
    </row>
    <row r="561" spans="1:3">
      <c r="A561" s="24"/>
      <c r="B561"/>
      <c r="C561"/>
    </row>
    <row r="562" spans="1:3">
      <c r="A562" s="24"/>
      <c r="B562"/>
      <c r="C562"/>
    </row>
    <row r="563" spans="1:3">
      <c r="A563" s="24"/>
      <c r="B563"/>
      <c r="C563"/>
    </row>
    <row r="564" spans="1:3">
      <c r="A564" s="24"/>
      <c r="B564"/>
      <c r="C564"/>
    </row>
    <row r="565" spans="1:3">
      <c r="A565" s="24"/>
      <c r="B565"/>
      <c r="C565"/>
    </row>
    <row r="566" spans="1:3">
      <c r="A566" s="24"/>
      <c r="B566"/>
      <c r="C566"/>
    </row>
    <row r="567" spans="1:3">
      <c r="A567" s="24"/>
      <c r="B567"/>
      <c r="C567"/>
    </row>
    <row r="568" spans="1:3">
      <c r="A568" s="24"/>
      <c r="B568"/>
      <c r="C568"/>
    </row>
    <row r="569" spans="1:3">
      <c r="A569" s="24"/>
      <c r="B569"/>
      <c r="C569"/>
    </row>
    <row r="570" spans="1:3">
      <c r="A570" s="24"/>
      <c r="B570"/>
      <c r="C570"/>
    </row>
    <row r="571" spans="1:3">
      <c r="A571" s="24"/>
      <c r="B571"/>
      <c r="C571"/>
    </row>
    <row r="572" spans="1:3">
      <c r="A572" s="24"/>
      <c r="B572"/>
      <c r="C572"/>
    </row>
    <row r="573" spans="1:3">
      <c r="A573" s="24"/>
      <c r="B573"/>
      <c r="C573"/>
    </row>
    <row r="574" spans="1:3">
      <c r="A574" s="24"/>
      <c r="B574"/>
      <c r="C574"/>
    </row>
    <row r="575" spans="1:3">
      <c r="A575" s="24"/>
      <c r="B575"/>
      <c r="C575"/>
    </row>
    <row r="576" spans="1:3">
      <c r="A576" s="24"/>
      <c r="B576"/>
      <c r="C576"/>
    </row>
    <row r="577" spans="1:3">
      <c r="A577" s="24"/>
      <c r="B577"/>
      <c r="C577"/>
    </row>
    <row r="578" spans="1:3">
      <c r="A578" s="24"/>
      <c r="B578"/>
      <c r="C578"/>
    </row>
    <row r="579" spans="1:3">
      <c r="A579" s="24"/>
      <c r="B579"/>
      <c r="C579"/>
    </row>
    <row r="580" spans="1:3">
      <c r="A580" s="24"/>
      <c r="B580"/>
      <c r="C580"/>
    </row>
    <row r="581" spans="1:3">
      <c r="A581" s="24"/>
      <c r="B581"/>
      <c r="C581"/>
    </row>
    <row r="582" spans="1:3">
      <c r="A582" s="24"/>
      <c r="B582"/>
      <c r="C582"/>
    </row>
    <row r="583" spans="1:3">
      <c r="A583" s="24"/>
      <c r="B583"/>
      <c r="C583"/>
    </row>
    <row r="584" spans="1:3">
      <c r="A584" s="24"/>
      <c r="B584"/>
      <c r="C584"/>
    </row>
    <row r="585" spans="1:3">
      <c r="A585" s="24"/>
      <c r="B585"/>
      <c r="C585"/>
    </row>
    <row r="586" spans="1:3">
      <c r="A586" s="24"/>
      <c r="B586"/>
      <c r="C586"/>
    </row>
    <row r="587" spans="1:3">
      <c r="A587" s="24"/>
      <c r="B587"/>
      <c r="C587"/>
    </row>
    <row r="588" spans="1:3">
      <c r="A588" s="24"/>
      <c r="B588"/>
      <c r="C588"/>
    </row>
    <row r="589" spans="1:3">
      <c r="A589" s="24"/>
      <c r="B589"/>
      <c r="C589"/>
    </row>
    <row r="590" spans="1:3">
      <c r="A590" s="24"/>
      <c r="B590"/>
      <c r="C590"/>
    </row>
    <row r="591" spans="1:3">
      <c r="A591" s="24"/>
      <c r="B591"/>
      <c r="C591"/>
    </row>
    <row r="592" spans="1:3">
      <c r="A592" s="24"/>
      <c r="B592"/>
      <c r="C592"/>
    </row>
    <row r="593" spans="1:3">
      <c r="A593" s="24"/>
      <c r="B593"/>
      <c r="C593"/>
    </row>
    <row r="594" spans="1:3">
      <c r="A594" s="24"/>
      <c r="B594"/>
      <c r="C594"/>
    </row>
    <row r="595" spans="1:3">
      <c r="A595" s="24"/>
      <c r="B595"/>
      <c r="C595"/>
    </row>
    <row r="596" spans="1:3">
      <c r="A596" s="24"/>
      <c r="B596"/>
      <c r="C596"/>
    </row>
    <row r="597" spans="1:3">
      <c r="A597" s="24"/>
      <c r="B597"/>
      <c r="C597"/>
    </row>
    <row r="598" spans="1:3">
      <c r="A598" s="24"/>
      <c r="B598"/>
      <c r="C598"/>
    </row>
    <row r="599" spans="1:3">
      <c r="A599" s="24"/>
      <c r="B599"/>
      <c r="C599"/>
    </row>
    <row r="600" spans="1:3">
      <c r="A600" s="24"/>
      <c r="B600"/>
      <c r="C600"/>
    </row>
    <row r="601" spans="1:3">
      <c r="A601" s="24"/>
      <c r="B601"/>
      <c r="C601"/>
    </row>
    <row r="602" spans="1:3">
      <c r="A602" s="24"/>
      <c r="B602"/>
      <c r="C602"/>
    </row>
    <row r="603" spans="1:3">
      <c r="A603" s="24"/>
      <c r="B603"/>
      <c r="C603"/>
    </row>
    <row r="604" spans="1:3">
      <c r="A604" s="24"/>
      <c r="B604"/>
      <c r="C604"/>
    </row>
    <row r="605" spans="1:3">
      <c r="A605" s="24"/>
      <c r="B605"/>
      <c r="C605"/>
    </row>
    <row r="606" spans="1:3">
      <c r="A606" s="24"/>
      <c r="B606"/>
      <c r="C606"/>
    </row>
    <row r="607" spans="1:3">
      <c r="A607" s="24"/>
      <c r="B607"/>
      <c r="C607"/>
    </row>
    <row r="608" spans="1:3">
      <c r="A608" s="24"/>
      <c r="B608"/>
      <c r="C608"/>
    </row>
    <row r="609" spans="1:3">
      <c r="A609" s="24"/>
      <c r="B609"/>
      <c r="C609"/>
    </row>
    <row r="610" spans="1:3">
      <c r="A610" s="24"/>
      <c r="B610"/>
      <c r="C610"/>
    </row>
    <row r="611" spans="1:3">
      <c r="A611" s="24"/>
      <c r="B611"/>
      <c r="C611"/>
    </row>
    <row r="612" spans="1:3">
      <c r="A612" s="24"/>
      <c r="B612"/>
      <c r="C612"/>
    </row>
    <row r="613" spans="1:3">
      <c r="A613" s="24"/>
      <c r="B613"/>
      <c r="C613"/>
    </row>
    <row r="614" spans="1:3">
      <c r="A614" s="24"/>
      <c r="B614"/>
      <c r="C614"/>
    </row>
    <row r="615" spans="1:3">
      <c r="A615" s="24"/>
      <c r="B615"/>
      <c r="C615"/>
    </row>
    <row r="616" spans="1:3">
      <c r="A616" s="24"/>
      <c r="B616"/>
      <c r="C616"/>
    </row>
    <row r="617" spans="1:3">
      <c r="A617" s="24"/>
      <c r="B617"/>
      <c r="C617"/>
    </row>
    <row r="618" spans="1:3">
      <c r="A618" s="24"/>
      <c r="B618"/>
      <c r="C618"/>
    </row>
    <row r="619" spans="1:3">
      <c r="A619" s="24"/>
      <c r="B619"/>
      <c r="C619"/>
    </row>
    <row r="620" spans="1:3">
      <c r="A620" s="24"/>
      <c r="B620"/>
      <c r="C620"/>
    </row>
    <row r="621" spans="1:3">
      <c r="A621" s="24"/>
      <c r="B621"/>
      <c r="C621"/>
    </row>
    <row r="622" spans="1:3">
      <c r="A622" s="24"/>
      <c r="B622"/>
      <c r="C622"/>
    </row>
    <row r="623" spans="1:3">
      <c r="A623" s="24"/>
      <c r="B623"/>
      <c r="C623"/>
    </row>
    <row r="624" spans="1:3">
      <c r="A624" s="24"/>
      <c r="B624"/>
      <c r="C624"/>
    </row>
    <row r="625" spans="1:3">
      <c r="A625" s="24"/>
      <c r="B625"/>
      <c r="C625"/>
    </row>
    <row r="626" spans="1:3">
      <c r="A626" s="24"/>
      <c r="B626"/>
      <c r="C626"/>
    </row>
    <row r="627" spans="1:3">
      <c r="A627" s="24"/>
      <c r="B627"/>
      <c r="C627"/>
    </row>
    <row r="628" spans="1:3">
      <c r="A628" s="24"/>
      <c r="B628"/>
      <c r="C628"/>
    </row>
    <row r="629" spans="1:3">
      <c r="A629" s="24"/>
      <c r="B629"/>
      <c r="C629"/>
    </row>
    <row r="630" spans="1:3">
      <c r="A630" s="24"/>
      <c r="B630"/>
      <c r="C630"/>
    </row>
    <row r="631" spans="1:3">
      <c r="A631" s="24"/>
      <c r="B631"/>
      <c r="C631"/>
    </row>
    <row r="632" spans="1:3">
      <c r="A632" s="24"/>
      <c r="B632"/>
      <c r="C632"/>
    </row>
    <row r="633" spans="1:3">
      <c r="A633" s="24"/>
      <c r="B633"/>
      <c r="C633"/>
    </row>
    <row r="634" spans="1:3">
      <c r="A634" s="24"/>
      <c r="B634"/>
      <c r="C634"/>
    </row>
    <row r="635" spans="1:3">
      <c r="A635" s="24"/>
      <c r="B635"/>
      <c r="C635"/>
    </row>
    <row r="636" spans="1:3">
      <c r="A636" s="24"/>
      <c r="B636"/>
      <c r="C636"/>
    </row>
    <row r="637" spans="1:3">
      <c r="A637" s="24"/>
      <c r="B637"/>
      <c r="C637"/>
    </row>
    <row r="638" spans="1:3">
      <c r="A638" s="24"/>
      <c r="B638"/>
      <c r="C638"/>
    </row>
    <row r="639" spans="1:3">
      <c r="A639" s="24"/>
      <c r="B639"/>
      <c r="C639"/>
    </row>
    <row r="640" spans="1:3">
      <c r="A640" s="24"/>
      <c r="B640"/>
      <c r="C640"/>
    </row>
    <row r="641" spans="1:3">
      <c r="A641" s="24"/>
      <c r="B641"/>
      <c r="C641"/>
    </row>
    <row r="642" spans="1:3">
      <c r="A642" s="24"/>
      <c r="B642"/>
      <c r="C642"/>
    </row>
    <row r="643" spans="1:3">
      <c r="A643" s="24"/>
      <c r="B643"/>
      <c r="C643"/>
    </row>
    <row r="644" spans="1:3">
      <c r="A644" s="24"/>
      <c r="B644"/>
      <c r="C644"/>
    </row>
    <row r="645" spans="1:3">
      <c r="A645" s="24"/>
      <c r="B645"/>
      <c r="C645"/>
    </row>
    <row r="646" spans="1:3">
      <c r="A646" s="24"/>
      <c r="B646"/>
      <c r="C646"/>
    </row>
    <row r="647" spans="1:3">
      <c r="A647" s="24"/>
      <c r="B647"/>
      <c r="C647"/>
    </row>
    <row r="648" spans="1:3">
      <c r="A648" s="24"/>
      <c r="B648"/>
      <c r="C648"/>
    </row>
    <row r="649" spans="1:3">
      <c r="A649" s="24"/>
      <c r="B649"/>
      <c r="C649"/>
    </row>
    <row r="650" spans="1:3">
      <c r="A650" s="24"/>
      <c r="B650"/>
      <c r="C650"/>
    </row>
    <row r="651" spans="1:3">
      <c r="A651" s="24"/>
      <c r="B651"/>
      <c r="C651"/>
    </row>
    <row r="652" spans="1:3">
      <c r="A652" s="24"/>
      <c r="B652"/>
      <c r="C652"/>
    </row>
    <row r="653" spans="1:3">
      <c r="A653" s="24"/>
      <c r="B653"/>
      <c r="C653"/>
    </row>
    <row r="654" spans="1:3">
      <c r="A654" s="24"/>
      <c r="B654"/>
      <c r="C654"/>
    </row>
    <row r="655" spans="1:3">
      <c r="A655" s="24"/>
      <c r="B655"/>
      <c r="C655"/>
    </row>
    <row r="656" spans="1:3">
      <c r="A656" s="24"/>
      <c r="B656"/>
      <c r="C656"/>
    </row>
    <row r="657" spans="1:3">
      <c r="A657" s="24"/>
      <c r="B657"/>
      <c r="C657"/>
    </row>
    <row r="658" spans="1:3">
      <c r="A658" s="24"/>
      <c r="B658"/>
      <c r="C658"/>
    </row>
    <row r="659" spans="1:3">
      <c r="A659" s="24"/>
      <c r="B659"/>
      <c r="C659"/>
    </row>
    <row r="660" spans="1:3">
      <c r="A660" s="24"/>
      <c r="B660"/>
      <c r="C660"/>
    </row>
    <row r="661" spans="1:3">
      <c r="A661" s="24"/>
      <c r="B661"/>
      <c r="C661"/>
    </row>
    <row r="662" spans="1:3">
      <c r="A662" s="24"/>
      <c r="B662"/>
      <c r="C662"/>
    </row>
    <row r="663" spans="1:3">
      <c r="A663" s="24"/>
      <c r="B663"/>
      <c r="C663"/>
    </row>
    <row r="664" spans="1:3">
      <c r="A664" s="24"/>
      <c r="B664"/>
      <c r="C664"/>
    </row>
    <row r="665" spans="1:3">
      <c r="A665" s="24"/>
      <c r="B665"/>
      <c r="C665"/>
    </row>
    <row r="666" spans="1:3">
      <c r="A666" s="24"/>
      <c r="B666"/>
      <c r="C666"/>
    </row>
    <row r="667" spans="1:3">
      <c r="A667" s="24"/>
      <c r="B667"/>
      <c r="C667"/>
    </row>
    <row r="668" spans="1:3">
      <c r="A668" s="24"/>
      <c r="B668"/>
      <c r="C668"/>
    </row>
    <row r="669" spans="1:3">
      <c r="A669" s="24"/>
      <c r="B669"/>
      <c r="C669"/>
    </row>
    <row r="670" spans="1:3">
      <c r="A670" s="24"/>
      <c r="B670"/>
      <c r="C670"/>
    </row>
    <row r="671" spans="1:3">
      <c r="A671" s="24"/>
      <c r="B671"/>
      <c r="C671"/>
    </row>
    <row r="672" spans="1:3">
      <c r="A672" s="24"/>
      <c r="B672"/>
      <c r="C672"/>
    </row>
    <row r="673" spans="1:3">
      <c r="A673" s="24"/>
      <c r="B673"/>
      <c r="C673"/>
    </row>
    <row r="674" spans="1:3">
      <c r="A674" s="24"/>
      <c r="B674"/>
      <c r="C674"/>
    </row>
    <row r="675" spans="1:3">
      <c r="A675" s="24"/>
      <c r="B675"/>
      <c r="C675"/>
    </row>
    <row r="676" spans="1:3">
      <c r="A676" s="24"/>
      <c r="B676"/>
      <c r="C676"/>
    </row>
    <row r="677" spans="1:3">
      <c r="A677" s="24"/>
      <c r="B677"/>
      <c r="C677"/>
    </row>
    <row r="678" spans="1:3">
      <c r="A678" s="24"/>
      <c r="B678"/>
      <c r="C678"/>
    </row>
    <row r="679" spans="1:3">
      <c r="A679" s="24"/>
      <c r="B679"/>
      <c r="C679"/>
    </row>
    <row r="680" spans="1:3">
      <c r="A680" s="24"/>
      <c r="B680"/>
      <c r="C680"/>
    </row>
    <row r="681" spans="1:3">
      <c r="A681" s="24"/>
      <c r="B681"/>
      <c r="C681"/>
    </row>
    <row r="682" spans="1:3">
      <c r="A682" s="24"/>
      <c r="B682"/>
      <c r="C682"/>
    </row>
    <row r="683" spans="1:3">
      <c r="A683" s="24"/>
      <c r="B683"/>
      <c r="C683"/>
    </row>
    <row r="684" spans="1:3">
      <c r="A684" s="24"/>
      <c r="B684"/>
      <c r="C684"/>
    </row>
    <row r="685" spans="1:3">
      <c r="A685" s="24"/>
      <c r="B685"/>
      <c r="C685"/>
    </row>
    <row r="686" spans="1:3">
      <c r="A686" s="24"/>
      <c r="B686"/>
      <c r="C686"/>
    </row>
    <row r="687" spans="1:3">
      <c r="A687" s="24"/>
      <c r="B687"/>
      <c r="C687"/>
    </row>
    <row r="688" spans="1:3">
      <c r="A688" s="24"/>
      <c r="B688"/>
      <c r="C688"/>
    </row>
    <row r="689" spans="1:3">
      <c r="A689" s="24"/>
      <c r="B689"/>
      <c r="C689"/>
    </row>
    <row r="690" spans="1:3">
      <c r="A690" s="24"/>
      <c r="B690"/>
      <c r="C690"/>
    </row>
    <row r="691" spans="1:3">
      <c r="A691" s="24"/>
      <c r="B691"/>
      <c r="C691"/>
    </row>
    <row r="692" spans="1:3">
      <c r="A692" s="24"/>
      <c r="B692"/>
      <c r="C692"/>
    </row>
    <row r="693" spans="1:3">
      <c r="A693" s="24"/>
      <c r="B693"/>
      <c r="C693"/>
    </row>
    <row r="694" spans="1:3">
      <c r="A694" s="24"/>
      <c r="B694"/>
      <c r="C694"/>
    </row>
    <row r="695" spans="1:3">
      <c r="A695" s="24"/>
      <c r="B695"/>
      <c r="C695"/>
    </row>
    <row r="696" spans="1:3">
      <c r="A696" s="24"/>
      <c r="B696"/>
      <c r="C696"/>
    </row>
    <row r="697" spans="1:3">
      <c r="A697" s="24"/>
      <c r="B697"/>
      <c r="C697"/>
    </row>
    <row r="698" spans="1:3">
      <c r="A698" s="24"/>
      <c r="B698"/>
      <c r="C698"/>
    </row>
    <row r="699" spans="1:3">
      <c r="A699" s="24"/>
      <c r="B699"/>
      <c r="C699"/>
    </row>
    <row r="700" spans="1:3">
      <c r="A700" s="24"/>
      <c r="B700"/>
      <c r="C700"/>
    </row>
    <row r="701" spans="1:3">
      <c r="A701" s="24"/>
      <c r="B701"/>
      <c r="C701"/>
    </row>
    <row r="702" spans="1:3">
      <c r="A702" s="24"/>
      <c r="B702"/>
      <c r="C702"/>
    </row>
    <row r="703" spans="1:3">
      <c r="A703" s="24"/>
      <c r="B703"/>
      <c r="C703"/>
    </row>
    <row r="704" spans="1:3">
      <c r="A704" s="24"/>
      <c r="B704"/>
      <c r="C704"/>
    </row>
    <row r="705" spans="1:3">
      <c r="A705" s="24"/>
      <c r="B705"/>
      <c r="C705"/>
    </row>
    <row r="706" spans="1:3">
      <c r="A706" s="24"/>
      <c r="B706"/>
      <c r="C706"/>
    </row>
    <row r="707" spans="1:3">
      <c r="A707" s="24"/>
      <c r="B707"/>
      <c r="C707"/>
    </row>
    <row r="708" spans="1:3">
      <c r="A708" s="24"/>
      <c r="B708"/>
      <c r="C708"/>
    </row>
    <row r="709" spans="1:3">
      <c r="A709" s="24"/>
      <c r="B709"/>
      <c r="C709"/>
    </row>
    <row r="710" spans="1:3">
      <c r="A710" s="24"/>
      <c r="B710"/>
      <c r="C710"/>
    </row>
    <row r="711" spans="1:3">
      <c r="A711" s="24"/>
      <c r="B711"/>
      <c r="C711"/>
    </row>
    <row r="712" spans="1:3">
      <c r="A712" s="24"/>
      <c r="B712"/>
      <c r="C712"/>
    </row>
    <row r="713" spans="1:3">
      <c r="A713" s="24"/>
      <c r="B713"/>
      <c r="C713"/>
    </row>
    <row r="714" spans="1:3">
      <c r="A714" s="24"/>
      <c r="B714"/>
      <c r="C714"/>
    </row>
    <row r="715" spans="1:3">
      <c r="A715" s="24"/>
      <c r="B715"/>
      <c r="C715"/>
    </row>
    <row r="716" spans="1:3">
      <c r="A716" s="24"/>
      <c r="B716"/>
      <c r="C716"/>
    </row>
    <row r="717" spans="1:3">
      <c r="A717" s="24"/>
      <c r="B717"/>
      <c r="C717"/>
    </row>
    <row r="718" spans="1:3">
      <c r="A718" s="24"/>
      <c r="B718"/>
      <c r="C718"/>
    </row>
    <row r="719" spans="1:3">
      <c r="A719" s="24"/>
      <c r="B719"/>
      <c r="C719"/>
    </row>
    <row r="720" spans="1:3">
      <c r="A720" s="24"/>
      <c r="B720"/>
      <c r="C720"/>
    </row>
    <row r="721" spans="1:3">
      <c r="A721" s="24"/>
      <c r="B721"/>
      <c r="C721"/>
    </row>
    <row r="722" spans="1:3">
      <c r="A722" s="24"/>
      <c r="B722"/>
      <c r="C722"/>
    </row>
    <row r="723" spans="1:3">
      <c r="A723" s="24"/>
      <c r="B723"/>
      <c r="C723"/>
    </row>
    <row r="724" spans="1:3">
      <c r="A724" s="24"/>
      <c r="B724"/>
      <c r="C724"/>
    </row>
    <row r="725" spans="1:3">
      <c r="A725" s="24"/>
      <c r="B725"/>
      <c r="C725"/>
    </row>
    <row r="726" spans="1:3">
      <c r="A726" s="24"/>
      <c r="B726"/>
      <c r="C726"/>
    </row>
    <row r="727" spans="1:3">
      <c r="A727" s="24"/>
      <c r="B727"/>
      <c r="C727"/>
    </row>
    <row r="728" spans="1:3">
      <c r="A728" s="24"/>
      <c r="B728"/>
      <c r="C728"/>
    </row>
    <row r="729" spans="1:3">
      <c r="A729" s="24"/>
      <c r="B729"/>
      <c r="C729"/>
    </row>
    <row r="730" spans="1:3">
      <c r="A730" s="24"/>
      <c r="B730"/>
      <c r="C730"/>
    </row>
    <row r="731" spans="1:3">
      <c r="A731" s="24"/>
      <c r="B731"/>
      <c r="C731"/>
    </row>
    <row r="732" spans="1:3">
      <c r="A732" s="24"/>
      <c r="B732"/>
      <c r="C732"/>
    </row>
    <row r="733" spans="1:3">
      <c r="A733" s="24"/>
      <c r="B733"/>
      <c r="C733"/>
    </row>
    <row r="734" spans="1:3">
      <c r="A734" s="24"/>
      <c r="B734"/>
      <c r="C734"/>
    </row>
    <row r="735" spans="1:3">
      <c r="A735" s="24"/>
      <c r="B735"/>
      <c r="C735"/>
    </row>
    <row r="736" spans="1:3">
      <c r="A736" s="24"/>
      <c r="B736"/>
      <c r="C736"/>
    </row>
    <row r="737" spans="1:3">
      <c r="A737" s="24"/>
      <c r="B737"/>
      <c r="C737"/>
    </row>
    <row r="738" spans="1:3">
      <c r="A738" s="24"/>
      <c r="B738"/>
      <c r="C738"/>
    </row>
    <row r="739" spans="1:3">
      <c r="A739" s="24"/>
      <c r="B739"/>
      <c r="C739"/>
    </row>
    <row r="740" spans="1:3">
      <c r="A740" s="24"/>
      <c r="B740"/>
      <c r="C740"/>
    </row>
    <row r="741" spans="1:3">
      <c r="A741" s="24"/>
      <c r="B741"/>
      <c r="C741"/>
    </row>
    <row r="742" spans="1:3">
      <c r="A742" s="24"/>
      <c r="B742"/>
      <c r="C742"/>
    </row>
    <row r="743" spans="1:3">
      <c r="A743" s="24"/>
      <c r="B743"/>
      <c r="C743"/>
    </row>
    <row r="744" spans="1:3">
      <c r="A744" s="24"/>
      <c r="B744"/>
      <c r="C744"/>
    </row>
    <row r="745" spans="1:3">
      <c r="A745" s="24"/>
      <c r="B745"/>
      <c r="C745"/>
    </row>
    <row r="746" spans="1:3">
      <c r="A746" s="24"/>
      <c r="B746"/>
      <c r="C746"/>
    </row>
    <row r="747" spans="1:3">
      <c r="A747" s="24"/>
      <c r="B747"/>
      <c r="C747"/>
    </row>
    <row r="748" spans="1:3">
      <c r="A748" s="24"/>
      <c r="B748"/>
      <c r="C748"/>
    </row>
    <row r="749" spans="1:3">
      <c r="A749" s="24"/>
      <c r="B749"/>
      <c r="C749"/>
    </row>
    <row r="750" spans="1:3">
      <c r="A750" s="24"/>
      <c r="B750"/>
      <c r="C750"/>
    </row>
    <row r="751" spans="1:3">
      <c r="A751" s="24"/>
      <c r="B751"/>
      <c r="C751"/>
    </row>
    <row r="752" spans="1:3">
      <c r="A752" s="24"/>
      <c r="B752"/>
      <c r="C752"/>
    </row>
    <row r="753" spans="1:3">
      <c r="A753" s="24"/>
      <c r="B753"/>
      <c r="C753"/>
    </row>
    <row r="754" spans="1:3">
      <c r="A754" s="24"/>
      <c r="B754"/>
      <c r="C754"/>
    </row>
    <row r="755" spans="1:3">
      <c r="A755" s="24"/>
      <c r="B755"/>
      <c r="C755"/>
    </row>
    <row r="756" spans="1:3">
      <c r="A756" s="24"/>
      <c r="B756"/>
      <c r="C756"/>
    </row>
    <row r="757" spans="1:3">
      <c r="A757" s="24"/>
      <c r="B757"/>
      <c r="C757"/>
    </row>
    <row r="758" spans="1:3">
      <c r="A758" s="24"/>
      <c r="B758"/>
      <c r="C758"/>
    </row>
    <row r="759" spans="1:3">
      <c r="A759" s="24"/>
      <c r="B759"/>
      <c r="C759"/>
    </row>
    <row r="760" spans="1:3">
      <c r="A760" s="24"/>
      <c r="B760"/>
      <c r="C760"/>
    </row>
    <row r="761" spans="1:3">
      <c r="A761" s="24"/>
      <c r="B761"/>
      <c r="C761"/>
    </row>
    <row r="762" spans="1:3">
      <c r="A762" s="24"/>
      <c r="B762"/>
      <c r="C762"/>
    </row>
    <row r="763" spans="1:3">
      <c r="A763" s="24"/>
      <c r="B763"/>
      <c r="C763"/>
    </row>
    <row r="764" spans="1:3">
      <c r="A764" s="24"/>
      <c r="B764"/>
      <c r="C764"/>
    </row>
    <row r="765" spans="1:3">
      <c r="A765" s="24"/>
      <c r="B765"/>
      <c r="C765"/>
    </row>
    <row r="766" spans="1:3">
      <c r="A766" s="24"/>
      <c r="B766"/>
      <c r="C766"/>
    </row>
    <row r="767" spans="1:3">
      <c r="A767" s="24"/>
      <c r="B767"/>
      <c r="C767"/>
    </row>
    <row r="768" spans="1:3">
      <c r="A768" s="24"/>
      <c r="B768"/>
      <c r="C768"/>
    </row>
    <row r="769" spans="1:3">
      <c r="A769" s="24"/>
      <c r="B769"/>
      <c r="C769"/>
    </row>
    <row r="770" spans="1:3">
      <c r="A770" s="24"/>
      <c r="B770"/>
      <c r="C770"/>
    </row>
    <row r="771" spans="1:3">
      <c r="A771" s="24"/>
      <c r="B771"/>
      <c r="C771"/>
    </row>
    <row r="772" spans="1:3">
      <c r="A772" s="24"/>
      <c r="B772"/>
      <c r="C772"/>
    </row>
    <row r="773" spans="1:3">
      <c r="A773" s="24"/>
      <c r="B773"/>
      <c r="C773"/>
    </row>
    <row r="774" spans="1:3">
      <c r="A774" s="24"/>
      <c r="B774"/>
      <c r="C774"/>
    </row>
    <row r="775" spans="1:3">
      <c r="A775" s="24"/>
      <c r="B775"/>
      <c r="C775"/>
    </row>
    <row r="776" spans="1:3">
      <c r="A776" s="24"/>
      <c r="B776"/>
      <c r="C776"/>
    </row>
    <row r="777" spans="1:3">
      <c r="A777" s="24"/>
      <c r="B777"/>
      <c r="C777"/>
    </row>
    <row r="778" spans="1:3">
      <c r="A778" s="24"/>
      <c r="B778"/>
      <c r="C778"/>
    </row>
    <row r="779" spans="1:3">
      <c r="A779" s="24"/>
      <c r="B779"/>
      <c r="C779"/>
    </row>
    <row r="780" spans="1:3">
      <c r="A780" s="24"/>
      <c r="B780"/>
      <c r="C780"/>
    </row>
    <row r="781" spans="1:3">
      <c r="A781" s="24"/>
      <c r="B781"/>
      <c r="C781"/>
    </row>
    <row r="782" spans="1:3">
      <c r="A782" s="24"/>
      <c r="B782"/>
      <c r="C782"/>
    </row>
    <row r="783" spans="1:3">
      <c r="A783" s="24"/>
      <c r="B783"/>
      <c r="C783"/>
    </row>
    <row r="784" spans="1:3">
      <c r="A784" s="24"/>
      <c r="B784"/>
      <c r="C784"/>
    </row>
    <row r="785" spans="1:3">
      <c r="A785" s="24"/>
      <c r="B785"/>
      <c r="C785"/>
    </row>
    <row r="786" spans="1:3">
      <c r="A786" s="24"/>
      <c r="B786"/>
      <c r="C786"/>
    </row>
    <row r="787" spans="1:3">
      <c r="A787" s="24"/>
      <c r="B787"/>
      <c r="C787"/>
    </row>
    <row r="788" spans="1:3">
      <c r="A788" s="24"/>
      <c r="B788"/>
      <c r="C788"/>
    </row>
    <row r="789" spans="1:3">
      <c r="A789" s="24"/>
      <c r="B789"/>
      <c r="C789"/>
    </row>
    <row r="790" spans="1:3">
      <c r="A790" s="24"/>
      <c r="B790"/>
      <c r="C790"/>
    </row>
    <row r="791" spans="1:3">
      <c r="A791" s="24"/>
      <c r="B791"/>
      <c r="C791"/>
    </row>
    <row r="792" spans="1:3">
      <c r="A792" s="24"/>
      <c r="B792"/>
      <c r="C792"/>
    </row>
    <row r="793" spans="1:3">
      <c r="A793" s="24"/>
      <c r="B793"/>
      <c r="C793"/>
    </row>
    <row r="794" spans="1:3">
      <c r="A794" s="24"/>
      <c r="B794"/>
      <c r="C794"/>
    </row>
    <row r="795" spans="1:3">
      <c r="A795" s="24"/>
      <c r="B795"/>
      <c r="C795"/>
    </row>
    <row r="796" spans="1:3">
      <c r="A796" s="24"/>
      <c r="B796"/>
      <c r="C796"/>
    </row>
    <row r="797" spans="1:3">
      <c r="A797" s="24"/>
      <c r="B797"/>
      <c r="C797"/>
    </row>
    <row r="798" spans="1:3">
      <c r="A798" s="24"/>
      <c r="B798"/>
      <c r="C798"/>
    </row>
    <row r="799" spans="1:3">
      <c r="A799" s="24"/>
      <c r="B799"/>
      <c r="C799"/>
    </row>
    <row r="800" spans="1:3">
      <c r="A800" s="24"/>
      <c r="B800"/>
      <c r="C800"/>
    </row>
    <row r="801" spans="1:3">
      <c r="A801" s="24"/>
      <c r="B801"/>
      <c r="C801"/>
    </row>
    <row r="802" spans="1:3">
      <c r="A802" s="24"/>
      <c r="B802"/>
      <c r="C802"/>
    </row>
    <row r="803" spans="1:3">
      <c r="A803" s="24"/>
      <c r="B803"/>
      <c r="C803"/>
    </row>
    <row r="804" spans="1:3">
      <c r="A804" s="24"/>
      <c r="B804"/>
      <c r="C804"/>
    </row>
    <row r="805" spans="1:3">
      <c r="A805" s="24"/>
      <c r="B805"/>
      <c r="C805"/>
    </row>
    <row r="806" spans="1:3">
      <c r="A806" s="24"/>
      <c r="B806"/>
      <c r="C806"/>
    </row>
    <row r="807" spans="1:3">
      <c r="A807" s="24"/>
      <c r="B807"/>
      <c r="C807"/>
    </row>
    <row r="808" spans="1:3">
      <c r="A808" s="24"/>
      <c r="B808"/>
      <c r="C808"/>
    </row>
    <row r="809" spans="1:3">
      <c r="A809" s="24"/>
      <c r="B809"/>
      <c r="C809"/>
    </row>
    <row r="810" spans="1:3">
      <c r="A810" s="24"/>
      <c r="B810"/>
      <c r="C810"/>
    </row>
    <row r="811" spans="1:3">
      <c r="A811" s="24"/>
      <c r="B811"/>
      <c r="C811"/>
    </row>
    <row r="812" spans="1:3">
      <c r="A812" s="24"/>
      <c r="B812"/>
      <c r="C812"/>
    </row>
    <row r="813" spans="1:3">
      <c r="A813" s="24"/>
      <c r="B813"/>
      <c r="C813"/>
    </row>
    <row r="814" spans="1:3">
      <c r="A814" s="24"/>
      <c r="B814"/>
      <c r="C814"/>
    </row>
    <row r="815" spans="1:3">
      <c r="A815" s="24"/>
      <c r="B815"/>
      <c r="C815"/>
    </row>
    <row r="816" spans="1:3">
      <c r="A816" s="24"/>
      <c r="B816"/>
      <c r="C816"/>
    </row>
    <row r="817" spans="1:3">
      <c r="A817" s="24"/>
      <c r="B817"/>
      <c r="C817"/>
    </row>
    <row r="818" spans="1:3">
      <c r="A818" s="24"/>
      <c r="B818"/>
      <c r="C818"/>
    </row>
    <row r="819" spans="1:3">
      <c r="A819" s="24"/>
      <c r="B819"/>
      <c r="C819"/>
    </row>
    <row r="820" spans="1:3">
      <c r="A820" s="24"/>
      <c r="B820"/>
      <c r="C820"/>
    </row>
    <row r="821" spans="1:3">
      <c r="A821" s="24"/>
      <c r="B821"/>
      <c r="C821"/>
    </row>
    <row r="822" spans="1:3">
      <c r="A822" s="24"/>
      <c r="B822"/>
      <c r="C822"/>
    </row>
    <row r="823" spans="1:3">
      <c r="A823" s="24"/>
      <c r="B823"/>
      <c r="C823"/>
    </row>
    <row r="824" spans="1:3">
      <c r="A824" s="24"/>
      <c r="B824"/>
      <c r="C824"/>
    </row>
    <row r="825" spans="1:3">
      <c r="A825" s="24"/>
      <c r="B825"/>
      <c r="C825"/>
    </row>
    <row r="826" spans="1:3">
      <c r="A826" s="24"/>
      <c r="B826"/>
      <c r="C826"/>
    </row>
    <row r="827" spans="1:3">
      <c r="A827" s="24"/>
      <c r="B827"/>
      <c r="C827"/>
    </row>
    <row r="828" spans="1:3">
      <c r="A828" s="24"/>
      <c r="B828"/>
      <c r="C828"/>
    </row>
    <row r="829" spans="1:3">
      <c r="A829" s="24"/>
      <c r="B829"/>
      <c r="C829"/>
    </row>
    <row r="830" spans="1:3">
      <c r="A830" s="24"/>
      <c r="B830"/>
      <c r="C830"/>
    </row>
    <row r="831" spans="1:3">
      <c r="A831" s="24"/>
      <c r="B831"/>
      <c r="C831"/>
    </row>
    <row r="832" spans="1:3">
      <c r="A832" s="24"/>
      <c r="B832"/>
      <c r="C832"/>
    </row>
    <row r="833" spans="1:3">
      <c r="A833" s="24"/>
      <c r="B833"/>
      <c r="C833"/>
    </row>
    <row r="834" spans="1:3">
      <c r="A834" s="24"/>
      <c r="B834"/>
      <c r="C834"/>
    </row>
    <row r="835" spans="1:3">
      <c r="A835" s="24"/>
      <c r="B835"/>
      <c r="C835"/>
    </row>
    <row r="836" spans="1:3">
      <c r="A836" s="24"/>
      <c r="B836"/>
      <c r="C836"/>
    </row>
    <row r="837" spans="1:3">
      <c r="A837" s="24"/>
      <c r="B837"/>
      <c r="C837"/>
    </row>
    <row r="838" spans="1:3">
      <c r="A838" s="24"/>
      <c r="B838"/>
      <c r="C838"/>
    </row>
    <row r="839" spans="1:3">
      <c r="A839" s="24"/>
      <c r="B839"/>
      <c r="C839"/>
    </row>
    <row r="840" spans="1:3">
      <c r="A840" s="24"/>
      <c r="B840"/>
      <c r="C840"/>
    </row>
    <row r="841" spans="1:3">
      <c r="A841" s="24"/>
      <c r="B841"/>
      <c r="C841"/>
    </row>
    <row r="842" spans="1:3">
      <c r="A842" s="24"/>
      <c r="B842"/>
      <c r="C842"/>
    </row>
    <row r="843" spans="1:3">
      <c r="A843" s="24"/>
      <c r="B843"/>
      <c r="C843"/>
    </row>
    <row r="844" spans="1:3">
      <c r="A844" s="24"/>
      <c r="B844"/>
      <c r="C844"/>
    </row>
    <row r="845" spans="1:3">
      <c r="A845" s="24"/>
      <c r="B845"/>
      <c r="C845"/>
    </row>
    <row r="846" spans="1:3">
      <c r="A846" s="24"/>
      <c r="B846"/>
      <c r="C846"/>
    </row>
    <row r="847" spans="1:3">
      <c r="A847" s="24"/>
      <c r="B847"/>
      <c r="C847"/>
    </row>
    <row r="848" spans="1:3">
      <c r="A848" s="24"/>
      <c r="B848"/>
      <c r="C848"/>
    </row>
    <row r="849" spans="1:3">
      <c r="A849" s="24"/>
      <c r="B849"/>
      <c r="C849"/>
    </row>
    <row r="850" spans="1:3">
      <c r="A850" s="24"/>
      <c r="B850"/>
      <c r="C850"/>
    </row>
    <row r="851" spans="1:3">
      <c r="A851" s="24"/>
      <c r="B851"/>
      <c r="C851"/>
    </row>
    <row r="852" spans="1:3">
      <c r="A852" s="24"/>
      <c r="B852"/>
      <c r="C852"/>
    </row>
    <row r="853" spans="1:3">
      <c r="A853" s="24"/>
      <c r="B853"/>
      <c r="C853"/>
    </row>
    <row r="854" spans="1:3">
      <c r="A854" s="24"/>
      <c r="B854"/>
      <c r="C854"/>
    </row>
    <row r="855" spans="1:3">
      <c r="A855" s="24"/>
      <c r="B855"/>
      <c r="C855"/>
    </row>
    <row r="856" spans="1:3">
      <c r="A856" s="24"/>
      <c r="B856"/>
      <c r="C856"/>
    </row>
    <row r="857" spans="1:3">
      <c r="A857" s="24"/>
      <c r="B857"/>
      <c r="C857"/>
    </row>
    <row r="858" spans="1:3">
      <c r="A858" s="24"/>
      <c r="B858"/>
      <c r="C858"/>
    </row>
    <row r="859" spans="1:3">
      <c r="A859" s="24"/>
      <c r="B859"/>
      <c r="C859"/>
    </row>
    <row r="860" spans="1:3">
      <c r="A860" s="24"/>
      <c r="B860"/>
      <c r="C860"/>
    </row>
    <row r="861" spans="1:3">
      <c r="A861" s="24"/>
      <c r="B861"/>
      <c r="C861"/>
    </row>
    <row r="862" spans="1:3">
      <c r="A862" s="24"/>
      <c r="B862"/>
      <c r="C862"/>
    </row>
    <row r="863" spans="1:3">
      <c r="A863" s="24"/>
      <c r="B863"/>
      <c r="C863"/>
    </row>
    <row r="864" spans="1:3">
      <c r="A864" s="24"/>
      <c r="B864"/>
      <c r="C864"/>
    </row>
    <row r="865" spans="1:3">
      <c r="A865" s="24"/>
      <c r="B865"/>
      <c r="C865"/>
    </row>
    <row r="866" spans="1:3">
      <c r="A866" s="24"/>
      <c r="B866"/>
      <c r="C866"/>
    </row>
    <row r="867" spans="1:3">
      <c r="A867" s="24"/>
      <c r="B867"/>
      <c r="C867"/>
    </row>
    <row r="868" spans="1:3">
      <c r="A868" s="24"/>
      <c r="B868"/>
      <c r="C868"/>
    </row>
    <row r="869" spans="1:3">
      <c r="A869" s="24"/>
      <c r="B869"/>
      <c r="C869"/>
    </row>
    <row r="870" spans="1:3">
      <c r="A870" s="24"/>
      <c r="B870"/>
      <c r="C870"/>
    </row>
    <row r="871" spans="1:3">
      <c r="A871" s="24"/>
      <c r="B871"/>
      <c r="C871"/>
    </row>
    <row r="872" spans="1:3">
      <c r="A872" s="24"/>
      <c r="B872"/>
      <c r="C872"/>
    </row>
    <row r="873" spans="1:3">
      <c r="A873" s="24"/>
      <c r="B873"/>
      <c r="C873"/>
    </row>
    <row r="874" spans="1:3">
      <c r="A874" s="24"/>
      <c r="B874"/>
      <c r="C874"/>
    </row>
    <row r="875" spans="1:3">
      <c r="A875" s="24"/>
      <c r="B875"/>
      <c r="C875"/>
    </row>
    <row r="876" spans="1:3">
      <c r="A876" s="24"/>
      <c r="B876"/>
      <c r="C876"/>
    </row>
    <row r="877" spans="1:3">
      <c r="A877" s="24"/>
      <c r="B877"/>
      <c r="C877"/>
    </row>
    <row r="878" spans="1:3">
      <c r="A878" s="24"/>
      <c r="B878"/>
      <c r="C878"/>
    </row>
    <row r="879" spans="1:3">
      <c r="A879" s="24"/>
      <c r="B879"/>
      <c r="C879"/>
    </row>
    <row r="880" spans="1:3">
      <c r="A880" s="24"/>
      <c r="B880"/>
      <c r="C880"/>
    </row>
    <row r="881" spans="1:3">
      <c r="A881" s="24"/>
      <c r="B881"/>
      <c r="C881"/>
    </row>
    <row r="882" spans="1:3">
      <c r="A882" s="24"/>
      <c r="B882"/>
      <c r="C882"/>
    </row>
    <row r="883" spans="1:3">
      <c r="A883" s="24"/>
      <c r="B883"/>
      <c r="C883"/>
    </row>
    <row r="884" spans="1:3">
      <c r="A884" s="24"/>
      <c r="B884"/>
      <c r="C884"/>
    </row>
    <row r="885" spans="1:3">
      <c r="A885" s="24"/>
      <c r="B885"/>
      <c r="C885"/>
    </row>
    <row r="886" spans="1:3">
      <c r="A886" s="24"/>
      <c r="B886"/>
      <c r="C886"/>
    </row>
    <row r="887" spans="1:3">
      <c r="A887" s="24"/>
      <c r="B887"/>
      <c r="C887"/>
    </row>
    <row r="888" spans="1:3">
      <c r="A888" s="24"/>
      <c r="B888"/>
      <c r="C888"/>
    </row>
    <row r="889" spans="1:3">
      <c r="A889" s="24"/>
      <c r="B889"/>
      <c r="C889"/>
    </row>
    <row r="890" spans="1:3">
      <c r="A890" s="24"/>
      <c r="B890"/>
      <c r="C890"/>
    </row>
    <row r="891" spans="1:3">
      <c r="A891" s="24"/>
      <c r="B891"/>
      <c r="C891"/>
    </row>
    <row r="892" spans="1:3">
      <c r="A892" s="24"/>
      <c r="B892"/>
      <c r="C892"/>
    </row>
    <row r="893" spans="1:3">
      <c r="A893" s="24"/>
      <c r="B893"/>
      <c r="C893"/>
    </row>
    <row r="894" spans="1:3">
      <c r="A894" s="24"/>
      <c r="B894"/>
      <c r="C894"/>
    </row>
    <row r="895" spans="1:3">
      <c r="A895" s="24"/>
      <c r="B895"/>
      <c r="C895"/>
    </row>
    <row r="896" spans="1:3">
      <c r="A896" s="24"/>
      <c r="B896"/>
      <c r="C896"/>
    </row>
    <row r="897" spans="1:3">
      <c r="A897" s="24"/>
      <c r="B897"/>
      <c r="C897"/>
    </row>
    <row r="898" spans="1:3">
      <c r="A898" s="24"/>
      <c r="B898"/>
      <c r="C898"/>
    </row>
    <row r="899" spans="1:3">
      <c r="A899" s="24"/>
      <c r="B899"/>
      <c r="C899"/>
    </row>
    <row r="900" spans="1:3">
      <c r="A900" s="24"/>
      <c r="B900"/>
      <c r="C900"/>
    </row>
    <row r="901" spans="1:3">
      <c r="A901" s="24"/>
      <c r="B901"/>
      <c r="C901"/>
    </row>
    <row r="902" spans="1:3">
      <c r="A902" s="24"/>
      <c r="B902"/>
      <c r="C902"/>
    </row>
    <row r="903" spans="1:3">
      <c r="A903" s="24"/>
      <c r="B903"/>
      <c r="C903"/>
    </row>
    <row r="904" spans="1:3">
      <c r="A904" s="24"/>
      <c r="B904"/>
      <c r="C904"/>
    </row>
    <row r="905" spans="1:3">
      <c r="A905" s="24"/>
      <c r="B905"/>
      <c r="C905"/>
    </row>
    <row r="906" spans="1:3">
      <c r="A906" s="24"/>
      <c r="B906"/>
      <c r="C906"/>
    </row>
    <row r="907" spans="1:3">
      <c r="A907" s="24"/>
      <c r="B907"/>
      <c r="C907"/>
    </row>
    <row r="908" spans="1:3">
      <c r="A908" s="24"/>
      <c r="B908"/>
      <c r="C908"/>
    </row>
    <row r="909" spans="1:3">
      <c r="A909" s="24"/>
      <c r="B909"/>
      <c r="C909"/>
    </row>
    <row r="910" spans="1:3">
      <c r="A910" s="24"/>
      <c r="B910"/>
      <c r="C910"/>
    </row>
    <row r="911" spans="1:3">
      <c r="A911" s="24"/>
      <c r="B911"/>
      <c r="C911"/>
    </row>
    <row r="912" spans="1:3">
      <c r="A912" s="24"/>
      <c r="B912"/>
      <c r="C912"/>
    </row>
    <row r="913" spans="1:3">
      <c r="A913" s="24"/>
      <c r="B913"/>
      <c r="C913"/>
    </row>
    <row r="914" spans="1:3">
      <c r="A914" s="24"/>
      <c r="B914"/>
      <c r="C914"/>
    </row>
    <row r="915" spans="1:3">
      <c r="A915" s="24"/>
      <c r="B915"/>
      <c r="C915"/>
    </row>
    <row r="916" spans="1:3">
      <c r="A916" s="24"/>
      <c r="B916"/>
      <c r="C916"/>
    </row>
    <row r="917" spans="1:3">
      <c r="A917" s="24"/>
      <c r="B917"/>
      <c r="C917"/>
    </row>
    <row r="918" spans="1:3">
      <c r="A918" s="24"/>
      <c r="B918"/>
      <c r="C918"/>
    </row>
    <row r="919" spans="1:3">
      <c r="A919" s="24"/>
      <c r="B919"/>
      <c r="C919"/>
    </row>
    <row r="920" spans="1:3">
      <c r="A920" s="24"/>
      <c r="B920"/>
      <c r="C920"/>
    </row>
    <row r="921" spans="1:3">
      <c r="A921" s="24"/>
      <c r="B921"/>
      <c r="C921"/>
    </row>
    <row r="922" spans="1:3">
      <c r="A922" s="24"/>
      <c r="B922"/>
      <c r="C922"/>
    </row>
    <row r="923" spans="1:3">
      <c r="A923" s="24"/>
      <c r="B923"/>
      <c r="C923"/>
    </row>
    <row r="924" spans="1:3">
      <c r="A924" s="24"/>
      <c r="B924"/>
      <c r="C924"/>
    </row>
    <row r="925" spans="1:3">
      <c r="A925" s="24"/>
      <c r="B925"/>
      <c r="C925"/>
    </row>
    <row r="926" spans="1:3">
      <c r="A926" s="24"/>
      <c r="B926"/>
      <c r="C926"/>
    </row>
    <row r="927" spans="1:3">
      <c r="A927" s="24"/>
      <c r="B927"/>
      <c r="C927"/>
    </row>
    <row r="928" spans="1:3">
      <c r="A928" s="24"/>
      <c r="B928"/>
      <c r="C928"/>
    </row>
    <row r="929" spans="1:3">
      <c r="A929" s="24"/>
      <c r="B929"/>
      <c r="C929"/>
    </row>
    <row r="930" spans="1:3">
      <c r="A930" s="24"/>
      <c r="B930"/>
      <c r="C930"/>
    </row>
    <row r="931" spans="1:3">
      <c r="A931" s="24"/>
      <c r="B931"/>
      <c r="C931"/>
    </row>
    <row r="932" spans="1:3">
      <c r="A932" s="24"/>
      <c r="B932"/>
      <c r="C932"/>
    </row>
    <row r="933" spans="1:3">
      <c r="A933" s="24"/>
      <c r="B933"/>
      <c r="C933"/>
    </row>
    <row r="934" spans="1:3">
      <c r="A934" s="24"/>
      <c r="B934"/>
      <c r="C934"/>
    </row>
    <row r="935" spans="1:3">
      <c r="A935" s="24"/>
      <c r="B935"/>
      <c r="C935"/>
    </row>
    <row r="936" spans="1:3">
      <c r="A936" s="24"/>
      <c r="B936"/>
      <c r="C936"/>
    </row>
    <row r="937" spans="1:3">
      <c r="A937" s="24"/>
      <c r="B937"/>
      <c r="C937"/>
    </row>
    <row r="938" spans="1:3">
      <c r="A938" s="24"/>
      <c r="B938"/>
      <c r="C938"/>
    </row>
    <row r="939" spans="1:3">
      <c r="A939" s="24"/>
      <c r="B939"/>
      <c r="C939"/>
    </row>
    <row r="940" spans="1:3">
      <c r="A940" s="24"/>
      <c r="B940"/>
      <c r="C940"/>
    </row>
    <row r="941" spans="1:3">
      <c r="A941" s="24"/>
      <c r="B941"/>
      <c r="C941"/>
    </row>
    <row r="942" spans="1:3">
      <c r="A942" s="24"/>
      <c r="B942"/>
      <c r="C942"/>
    </row>
    <row r="943" spans="1:3">
      <c r="A943" s="24"/>
      <c r="B943"/>
      <c r="C943"/>
    </row>
    <row r="944" spans="1:3">
      <c r="A944" s="24"/>
      <c r="B944"/>
      <c r="C944"/>
    </row>
    <row r="945" spans="1:3">
      <c r="A945" s="24"/>
      <c r="B945"/>
      <c r="C945"/>
    </row>
    <row r="946" spans="1:3">
      <c r="A946" s="24"/>
      <c r="B946"/>
      <c r="C946"/>
    </row>
    <row r="947" spans="1:3">
      <c r="A947" s="24"/>
      <c r="B947"/>
      <c r="C947"/>
    </row>
    <row r="948" spans="1:3">
      <c r="A948" s="24"/>
      <c r="B948"/>
      <c r="C948"/>
    </row>
    <row r="949" spans="1:3">
      <c r="A949" s="24"/>
      <c r="B949"/>
      <c r="C949"/>
    </row>
    <row r="950" spans="1:3">
      <c r="A950" s="24"/>
      <c r="B950"/>
      <c r="C950"/>
    </row>
    <row r="951" spans="1:3">
      <c r="A951" s="24"/>
      <c r="B951"/>
      <c r="C951"/>
    </row>
    <row r="952" spans="1:3">
      <c r="A952" s="24"/>
      <c r="B952"/>
      <c r="C952"/>
    </row>
    <row r="953" spans="1:3">
      <c r="A953" s="24"/>
      <c r="B953"/>
      <c r="C953"/>
    </row>
    <row r="954" spans="1:3">
      <c r="A954" s="24"/>
      <c r="B954"/>
      <c r="C954"/>
    </row>
    <row r="955" spans="1:3">
      <c r="A955" s="24"/>
      <c r="B955"/>
      <c r="C955"/>
    </row>
    <row r="956" spans="1:3">
      <c r="A956" s="24"/>
      <c r="B956"/>
      <c r="C956"/>
    </row>
    <row r="957" spans="1:3">
      <c r="A957" s="24"/>
      <c r="B957"/>
      <c r="C957"/>
    </row>
    <row r="958" spans="1:3">
      <c r="A958" s="24"/>
      <c r="B958"/>
      <c r="C958"/>
    </row>
    <row r="959" spans="1:3">
      <c r="A959" s="24"/>
      <c r="B959"/>
      <c r="C959"/>
    </row>
    <row r="960" spans="1:3">
      <c r="A960" s="24"/>
      <c r="B960"/>
      <c r="C960"/>
    </row>
    <row r="961" spans="1:3">
      <c r="A961" s="24"/>
      <c r="B961"/>
      <c r="C961"/>
    </row>
    <row r="962" spans="1:3">
      <c r="A962" s="24"/>
      <c r="B962"/>
      <c r="C962"/>
    </row>
    <row r="963" spans="1:3">
      <c r="A963" s="24"/>
      <c r="B963"/>
      <c r="C963"/>
    </row>
    <row r="964" spans="1:3">
      <c r="A964" s="24"/>
      <c r="B964"/>
      <c r="C964"/>
    </row>
    <row r="965" spans="1:3">
      <c r="A965" s="24"/>
      <c r="B965"/>
      <c r="C965"/>
    </row>
    <row r="966" spans="1:3">
      <c r="A966" s="24"/>
      <c r="B966"/>
      <c r="C966"/>
    </row>
    <row r="967" spans="1:3">
      <c r="A967" s="24"/>
      <c r="B967"/>
      <c r="C967"/>
    </row>
    <row r="968" spans="1:3">
      <c r="A968" s="24"/>
      <c r="B968"/>
      <c r="C968"/>
    </row>
    <row r="969" spans="1:3">
      <c r="A969" s="24"/>
      <c r="B969"/>
      <c r="C969"/>
    </row>
    <row r="970" spans="1:3">
      <c r="A970" s="24"/>
      <c r="B970"/>
      <c r="C970"/>
    </row>
    <row r="971" spans="1:3">
      <c r="A971" s="24"/>
      <c r="B971"/>
      <c r="C971"/>
    </row>
    <row r="972" spans="1:3">
      <c r="A972" s="24"/>
      <c r="B972"/>
      <c r="C972"/>
    </row>
    <row r="973" spans="1:3">
      <c r="A973" s="24"/>
      <c r="B973"/>
      <c r="C973"/>
    </row>
    <row r="974" spans="1:3">
      <c r="A974" s="24"/>
      <c r="B974"/>
      <c r="C974"/>
    </row>
    <row r="975" spans="1:3">
      <c r="A975" s="24"/>
      <c r="B975"/>
      <c r="C975"/>
    </row>
    <row r="976" spans="1:3">
      <c r="A976" s="24"/>
      <c r="B976"/>
      <c r="C976"/>
    </row>
    <row r="977" spans="1:3">
      <c r="A977" s="24"/>
      <c r="B977"/>
      <c r="C977"/>
    </row>
    <row r="978" spans="1:3">
      <c r="A978" s="24"/>
      <c r="B978"/>
      <c r="C978"/>
    </row>
    <row r="979" spans="1:3">
      <c r="A979" s="24"/>
      <c r="B979"/>
      <c r="C979"/>
    </row>
    <row r="980" spans="1:3">
      <c r="A980" s="24"/>
      <c r="B980"/>
      <c r="C980"/>
    </row>
    <row r="981" spans="1:3">
      <c r="A981" s="24"/>
      <c r="B981"/>
      <c r="C981"/>
    </row>
    <row r="982" spans="1:3">
      <c r="A982" s="24"/>
      <c r="B982"/>
      <c r="C982"/>
    </row>
    <row r="983" spans="1:3">
      <c r="A983" s="24"/>
      <c r="B983"/>
      <c r="C983"/>
    </row>
    <row r="984" spans="1:3">
      <c r="A984" s="24"/>
      <c r="B984"/>
      <c r="C984"/>
    </row>
    <row r="985" spans="1:3">
      <c r="A985" s="24"/>
      <c r="B985"/>
      <c r="C985"/>
    </row>
    <row r="986" spans="1:3">
      <c r="A986" s="24"/>
      <c r="B986"/>
      <c r="C986"/>
    </row>
    <row r="987" spans="1:3">
      <c r="A987" s="24"/>
      <c r="B987"/>
      <c r="C987"/>
    </row>
    <row r="988" spans="1:3">
      <c r="A988" s="24"/>
      <c r="B988"/>
      <c r="C988"/>
    </row>
    <row r="989" spans="1:3">
      <c r="A989" s="24"/>
      <c r="B989"/>
      <c r="C989"/>
    </row>
    <row r="990" spans="1:3">
      <c r="A990" s="24"/>
      <c r="B990"/>
      <c r="C990"/>
    </row>
    <row r="991" spans="1:3">
      <c r="A991" s="24"/>
      <c r="B991"/>
      <c r="C991"/>
    </row>
    <row r="992" spans="1:3">
      <c r="A992" s="24"/>
      <c r="B992"/>
      <c r="C992"/>
    </row>
    <row r="993" spans="1:3">
      <c r="A993" s="24"/>
      <c r="B993"/>
      <c r="C993"/>
    </row>
    <row r="994" spans="1:3">
      <c r="A994" s="24"/>
      <c r="B994"/>
      <c r="C994"/>
    </row>
    <row r="995" spans="1:3">
      <c r="A995" s="24"/>
      <c r="B995"/>
      <c r="C995"/>
    </row>
    <row r="996" spans="1:3">
      <c r="A996" s="24"/>
      <c r="B996"/>
      <c r="C996"/>
    </row>
    <row r="997" spans="1:3">
      <c r="A997" s="24"/>
      <c r="B997"/>
      <c r="C997"/>
    </row>
    <row r="998" spans="1:3">
      <c r="A998" s="24"/>
      <c r="B998"/>
      <c r="C998"/>
    </row>
    <row r="999" spans="1:3">
      <c r="A999" s="24"/>
      <c r="B999"/>
      <c r="C999"/>
    </row>
    <row r="1000" spans="1:3">
      <c r="A1000" s="24"/>
      <c r="B1000"/>
      <c r="C1000"/>
    </row>
    <row r="1001" spans="1:3">
      <c r="A1001" s="24"/>
      <c r="B1001"/>
      <c r="C1001"/>
    </row>
    <row r="1002" spans="1:3">
      <c r="A1002" s="24"/>
      <c r="B1002"/>
      <c r="C1002"/>
    </row>
    <row r="1003" spans="1:3">
      <c r="A1003" s="24"/>
      <c r="B1003"/>
      <c r="C1003"/>
    </row>
    <row r="1004" spans="1:3">
      <c r="A1004" s="24"/>
      <c r="B1004"/>
      <c r="C1004"/>
    </row>
    <row r="1005" spans="1:3">
      <c r="A1005" s="24"/>
      <c r="B1005"/>
      <c r="C1005"/>
    </row>
    <row r="1006" spans="1:3">
      <c r="A1006" s="24"/>
      <c r="B1006"/>
      <c r="C1006"/>
    </row>
    <row r="1007" spans="1:3">
      <c r="A1007" s="24"/>
      <c r="B1007"/>
      <c r="C1007"/>
    </row>
    <row r="1008" spans="1:3">
      <c r="A1008" s="24"/>
      <c r="B1008"/>
      <c r="C1008"/>
    </row>
    <row r="1009" spans="1:3">
      <c r="A1009" s="24"/>
      <c r="B1009"/>
      <c r="C1009"/>
    </row>
    <row r="1010" spans="1:3">
      <c r="A1010" s="24"/>
      <c r="B1010"/>
      <c r="C1010"/>
    </row>
    <row r="1011" spans="1:3">
      <c r="A1011" s="24"/>
      <c r="B1011"/>
      <c r="C1011"/>
    </row>
    <row r="1012" spans="1:3">
      <c r="A1012" s="24"/>
      <c r="B1012"/>
      <c r="C1012"/>
    </row>
    <row r="1013" spans="1:3">
      <c r="A1013" s="24"/>
      <c r="B1013"/>
      <c r="C1013"/>
    </row>
    <row r="1014" spans="1:3">
      <c r="A1014" s="24"/>
      <c r="B1014"/>
      <c r="C1014"/>
    </row>
    <row r="1015" spans="1:3">
      <c r="A1015" s="24"/>
      <c r="B1015"/>
      <c r="C1015"/>
    </row>
    <row r="1016" spans="1:3">
      <c r="A1016" s="24"/>
      <c r="B1016"/>
      <c r="C1016"/>
    </row>
    <row r="1017" spans="1:3">
      <c r="A1017" s="24"/>
      <c r="B1017"/>
      <c r="C1017"/>
    </row>
    <row r="1018" spans="1:3">
      <c r="A1018" s="24"/>
      <c r="B1018"/>
      <c r="C1018"/>
    </row>
    <row r="1019" spans="1:3">
      <c r="A1019" s="24"/>
      <c r="B1019"/>
      <c r="C1019"/>
    </row>
    <row r="1020" spans="1:3">
      <c r="A1020" s="24"/>
      <c r="B1020"/>
      <c r="C1020"/>
    </row>
    <row r="1021" spans="1:3">
      <c r="A1021" s="24"/>
      <c r="B1021"/>
      <c r="C1021"/>
    </row>
    <row r="1022" spans="1:3">
      <c r="A1022" s="24"/>
      <c r="B1022"/>
      <c r="C1022"/>
    </row>
    <row r="1023" spans="1:3">
      <c r="A1023" s="24"/>
      <c r="B1023"/>
      <c r="C1023"/>
    </row>
    <row r="1024" spans="1:3">
      <c r="A1024" s="24"/>
      <c r="B1024"/>
      <c r="C1024"/>
    </row>
    <row r="1025" spans="1:3">
      <c r="A1025" s="24"/>
      <c r="B1025"/>
      <c r="C1025"/>
    </row>
    <row r="1026" spans="1:3">
      <c r="A1026" s="24"/>
      <c r="B1026"/>
      <c r="C1026"/>
    </row>
    <row r="1027" spans="1:3">
      <c r="A1027" s="24"/>
      <c r="B1027"/>
      <c r="C1027"/>
    </row>
    <row r="1028" spans="1:3">
      <c r="A1028" s="24"/>
      <c r="B1028"/>
      <c r="C1028"/>
    </row>
    <row r="1029" spans="1:3">
      <c r="A1029" s="24"/>
      <c r="B1029"/>
      <c r="C1029"/>
    </row>
    <row r="1030" spans="1:3">
      <c r="A1030" s="24"/>
      <c r="B1030"/>
      <c r="C1030"/>
    </row>
    <row r="1031" spans="1:3">
      <c r="A1031" s="24"/>
      <c r="B1031"/>
      <c r="C1031"/>
    </row>
    <row r="1032" spans="1:3">
      <c r="A1032" s="24"/>
      <c r="B1032"/>
      <c r="C1032"/>
    </row>
    <row r="1033" spans="1:3">
      <c r="A1033" s="24"/>
      <c r="B1033"/>
      <c r="C1033"/>
    </row>
    <row r="1034" spans="1:3">
      <c r="A1034" s="24"/>
      <c r="B1034"/>
      <c r="C1034"/>
    </row>
    <row r="1035" spans="1:3">
      <c r="A1035" s="24"/>
      <c r="B1035"/>
      <c r="C1035"/>
    </row>
    <row r="1036" spans="1:3">
      <c r="A1036" s="24"/>
      <c r="B1036"/>
      <c r="C1036"/>
    </row>
    <row r="1037" spans="1:3">
      <c r="A1037" s="24"/>
      <c r="B1037"/>
      <c r="C1037"/>
    </row>
    <row r="1038" spans="1:3">
      <c r="A1038" s="24"/>
      <c r="B1038"/>
      <c r="C1038"/>
    </row>
    <row r="1039" spans="1:3">
      <c r="A1039" s="24"/>
      <c r="B1039"/>
      <c r="C1039"/>
    </row>
    <row r="1040" spans="1:3">
      <c r="A1040" s="24"/>
      <c r="B1040"/>
      <c r="C1040"/>
    </row>
    <row r="1041" spans="1:3">
      <c r="A1041" s="24"/>
      <c r="B1041"/>
      <c r="C1041"/>
    </row>
    <row r="1042" spans="1:3">
      <c r="A1042" s="24"/>
      <c r="B1042"/>
      <c r="C1042"/>
    </row>
    <row r="1043" spans="1:3">
      <c r="A1043" s="24"/>
      <c r="B1043"/>
      <c r="C1043"/>
    </row>
    <row r="1044" spans="1:3">
      <c r="A1044" s="24"/>
      <c r="B1044"/>
      <c r="C1044"/>
    </row>
    <row r="1045" spans="1:3">
      <c r="A1045" s="24"/>
      <c r="B1045"/>
      <c r="C1045"/>
    </row>
    <row r="1046" spans="1:3">
      <c r="A1046" s="24"/>
      <c r="B1046"/>
      <c r="C1046"/>
    </row>
    <row r="1047" spans="1:3">
      <c r="A1047" s="24"/>
      <c r="B1047"/>
      <c r="C1047"/>
    </row>
    <row r="1048" spans="1:3">
      <c r="A1048" s="24"/>
      <c r="B1048"/>
      <c r="C1048"/>
    </row>
    <row r="1049" spans="1:3">
      <c r="A1049" s="24"/>
      <c r="B1049"/>
      <c r="C1049"/>
    </row>
    <row r="1050" spans="1:3">
      <c r="A1050" s="24"/>
      <c r="B1050"/>
      <c r="C1050"/>
    </row>
    <row r="1051" spans="1:3">
      <c r="A1051" s="24"/>
      <c r="B1051"/>
      <c r="C1051"/>
    </row>
    <row r="1052" spans="1:3">
      <c r="A1052" s="24"/>
      <c r="B1052"/>
      <c r="C1052"/>
    </row>
    <row r="1053" spans="1:3">
      <c r="A1053" s="24"/>
      <c r="B1053"/>
      <c r="C1053"/>
    </row>
    <row r="1054" spans="1:3">
      <c r="A1054" s="24"/>
      <c r="B1054"/>
      <c r="C1054"/>
    </row>
    <row r="1055" spans="1:3">
      <c r="A1055" s="24"/>
      <c r="B1055"/>
      <c r="C1055"/>
    </row>
    <row r="1056" spans="1:3">
      <c r="A1056" s="24"/>
      <c r="B1056"/>
      <c r="C1056"/>
    </row>
    <row r="1057" spans="1:3">
      <c r="A1057" s="24"/>
      <c r="B1057"/>
      <c r="C1057"/>
    </row>
    <row r="1058" spans="1:3">
      <c r="A1058" s="24"/>
      <c r="B1058"/>
      <c r="C1058"/>
    </row>
    <row r="1059" spans="1:3">
      <c r="A1059" s="24"/>
      <c r="B1059"/>
      <c r="C1059"/>
    </row>
    <row r="1060" spans="1:3">
      <c r="A1060" s="24"/>
      <c r="B1060"/>
      <c r="C1060"/>
    </row>
    <row r="1061" spans="1:3">
      <c r="A1061" s="24"/>
      <c r="B1061"/>
      <c r="C1061"/>
    </row>
    <row r="1062" spans="1:3">
      <c r="A1062" s="24"/>
      <c r="B1062"/>
      <c r="C1062"/>
    </row>
    <row r="1063" spans="1:3">
      <c r="A1063" s="24"/>
      <c r="B1063"/>
      <c r="C1063"/>
    </row>
    <row r="1064" spans="1:3">
      <c r="A1064" s="24"/>
      <c r="B1064"/>
      <c r="C1064"/>
    </row>
    <row r="1065" spans="1:3">
      <c r="A1065" s="24"/>
      <c r="B1065"/>
      <c r="C1065"/>
    </row>
    <row r="1066" spans="1:3">
      <c r="A1066" s="24"/>
      <c r="B1066"/>
      <c r="C1066"/>
    </row>
    <row r="1067" spans="1:3">
      <c r="A1067" s="24"/>
      <c r="B1067"/>
      <c r="C1067"/>
    </row>
    <row r="1068" spans="1:3">
      <c r="A1068" s="24"/>
      <c r="B1068"/>
      <c r="C1068"/>
    </row>
    <row r="1069" spans="1:3">
      <c r="A1069" s="24"/>
      <c r="B1069"/>
      <c r="C1069"/>
    </row>
    <row r="1070" spans="1:3">
      <c r="A1070" s="24"/>
      <c r="B1070"/>
      <c r="C1070"/>
    </row>
    <row r="1071" spans="1:3">
      <c r="A1071" s="24"/>
      <c r="B1071"/>
      <c r="C1071"/>
    </row>
    <row r="1072" spans="1:3">
      <c r="A1072" s="24"/>
      <c r="B1072"/>
      <c r="C1072"/>
    </row>
    <row r="1073" spans="1:3">
      <c r="A1073" s="24"/>
      <c r="B1073"/>
      <c r="C1073"/>
    </row>
    <row r="1074" spans="1:3">
      <c r="A1074" s="24"/>
      <c r="B1074"/>
      <c r="C1074"/>
    </row>
    <row r="1075" spans="1:3">
      <c r="A1075" s="24"/>
      <c r="B1075"/>
      <c r="C1075"/>
    </row>
    <row r="1076" spans="1:3">
      <c r="A1076" s="24"/>
      <c r="B1076"/>
      <c r="C1076"/>
    </row>
    <row r="1077" spans="1:3">
      <c r="A1077" s="24"/>
      <c r="B1077"/>
      <c r="C1077"/>
    </row>
    <row r="1078" spans="1:3">
      <c r="A1078" s="24"/>
      <c r="B1078"/>
      <c r="C1078"/>
    </row>
    <row r="1079" spans="1:3">
      <c r="A1079" s="24"/>
      <c r="B1079"/>
      <c r="C1079"/>
    </row>
    <row r="1080" spans="1:3">
      <c r="A1080" s="24"/>
      <c r="B1080"/>
      <c r="C1080"/>
    </row>
    <row r="1081" spans="1:3">
      <c r="A1081" s="24"/>
      <c r="B1081"/>
      <c r="C1081"/>
    </row>
    <row r="1082" spans="1:3">
      <c r="A1082" s="24"/>
      <c r="B1082"/>
      <c r="C1082"/>
    </row>
    <row r="1083" spans="1:3">
      <c r="A1083" s="24"/>
      <c r="B1083"/>
      <c r="C1083"/>
    </row>
    <row r="1084" spans="1:3">
      <c r="A1084" s="24"/>
      <c r="B1084"/>
      <c r="C1084"/>
    </row>
    <row r="1085" spans="1:3">
      <c r="A1085" s="24"/>
      <c r="B1085"/>
      <c r="C1085"/>
    </row>
    <row r="1086" spans="1:3">
      <c r="A1086" s="24"/>
      <c r="B1086"/>
      <c r="C1086"/>
    </row>
    <row r="1087" spans="1:3">
      <c r="A1087" s="24"/>
      <c r="B1087"/>
      <c r="C1087"/>
    </row>
    <row r="1088" spans="1:3">
      <c r="A1088" s="24"/>
      <c r="B1088"/>
      <c r="C1088"/>
    </row>
    <row r="1089" spans="1:3">
      <c r="A1089" s="24"/>
      <c r="B1089"/>
      <c r="C1089"/>
    </row>
    <row r="1090" spans="1:3">
      <c r="A1090" s="24"/>
      <c r="B1090"/>
      <c r="C1090"/>
    </row>
    <row r="1091" spans="1:3">
      <c r="A1091" s="24"/>
      <c r="B1091"/>
      <c r="C1091"/>
    </row>
    <row r="1092" spans="1:3">
      <c r="A1092" s="24"/>
      <c r="B1092"/>
      <c r="C1092"/>
    </row>
    <row r="1093" spans="1:3">
      <c r="A1093" s="24"/>
      <c r="B1093"/>
      <c r="C1093"/>
    </row>
    <row r="1094" spans="1:3">
      <c r="A1094" s="24"/>
      <c r="B1094"/>
      <c r="C1094"/>
    </row>
    <row r="1095" spans="1:3">
      <c r="A1095" s="24"/>
      <c r="B1095"/>
      <c r="C1095"/>
    </row>
    <row r="1096" spans="1:3">
      <c r="A1096" s="24"/>
      <c r="B1096"/>
      <c r="C1096"/>
    </row>
    <row r="1097" spans="1:3">
      <c r="A1097" s="24"/>
      <c r="B1097"/>
      <c r="C1097"/>
    </row>
    <row r="1098" spans="1:3">
      <c r="A1098" s="24"/>
      <c r="B1098"/>
      <c r="C1098"/>
    </row>
    <row r="1099" spans="1:3">
      <c r="A1099" s="24"/>
      <c r="B1099"/>
      <c r="C1099"/>
    </row>
    <row r="1100" spans="1:3">
      <c r="A1100" s="24"/>
      <c r="B1100"/>
      <c r="C1100"/>
    </row>
    <row r="1101" spans="1:3">
      <c r="A1101" s="24"/>
      <c r="B1101"/>
      <c r="C1101"/>
    </row>
    <row r="1102" spans="1:3">
      <c r="A1102" s="24"/>
      <c r="B1102"/>
      <c r="C1102"/>
    </row>
    <row r="1103" spans="1:3">
      <c r="A1103" s="24"/>
      <c r="B1103"/>
      <c r="C1103"/>
    </row>
    <row r="1104" spans="1:3">
      <c r="A1104" s="24"/>
      <c r="B1104"/>
      <c r="C1104"/>
    </row>
    <row r="1105" spans="1:3">
      <c r="A1105" s="24"/>
      <c r="B1105"/>
      <c r="C1105"/>
    </row>
    <row r="1106" spans="1:3">
      <c r="A1106" s="24"/>
      <c r="B1106"/>
      <c r="C1106"/>
    </row>
    <row r="1107" spans="1:3">
      <c r="A1107" s="24"/>
      <c r="B1107"/>
      <c r="C1107"/>
    </row>
    <row r="1108" spans="1:3">
      <c r="A1108" s="24"/>
      <c r="B1108"/>
      <c r="C1108"/>
    </row>
    <row r="1109" spans="1:3">
      <c r="A1109" s="24"/>
      <c r="B1109"/>
      <c r="C1109"/>
    </row>
    <row r="1110" spans="1:3">
      <c r="A1110" s="24"/>
      <c r="B1110"/>
      <c r="C1110"/>
    </row>
    <row r="1111" spans="1:3">
      <c r="A1111" s="24"/>
      <c r="B1111"/>
      <c r="C1111"/>
    </row>
    <row r="1112" spans="1:3">
      <c r="A1112" s="24"/>
      <c r="B1112"/>
      <c r="C1112"/>
    </row>
    <row r="1113" spans="1:3">
      <c r="A1113" s="24"/>
      <c r="B1113"/>
      <c r="C1113"/>
    </row>
    <row r="1114" spans="1:3">
      <c r="A1114" s="24"/>
      <c r="B1114"/>
      <c r="C1114"/>
    </row>
    <row r="1115" spans="1:3">
      <c r="A1115" s="24"/>
      <c r="B1115"/>
      <c r="C1115"/>
    </row>
    <row r="1116" spans="1:3">
      <c r="A1116" s="24"/>
      <c r="B1116"/>
      <c r="C1116"/>
    </row>
    <row r="1117" spans="1:3">
      <c r="A1117" s="24"/>
      <c r="B1117"/>
      <c r="C1117"/>
    </row>
    <row r="1118" spans="1:3">
      <c r="A1118" s="24"/>
      <c r="B1118"/>
      <c r="C1118"/>
    </row>
    <row r="1119" spans="1:3">
      <c r="A1119" s="24"/>
      <c r="B1119"/>
      <c r="C1119"/>
    </row>
    <row r="1120" spans="1:3">
      <c r="A1120" s="24"/>
      <c r="B1120"/>
      <c r="C1120"/>
    </row>
    <row r="1121" spans="1:3">
      <c r="A1121" s="24"/>
      <c r="B1121"/>
      <c r="C1121"/>
    </row>
    <row r="1122" spans="1:3">
      <c r="A1122" s="24"/>
      <c r="B1122"/>
      <c r="C1122"/>
    </row>
    <row r="1123" spans="1:3">
      <c r="A1123" s="24"/>
      <c r="B1123"/>
      <c r="C1123"/>
    </row>
    <row r="1124" spans="1:3">
      <c r="A1124" s="24"/>
      <c r="B1124"/>
      <c r="C1124"/>
    </row>
    <row r="1125" spans="1:3">
      <c r="A1125" s="24"/>
      <c r="B1125"/>
      <c r="C1125"/>
    </row>
    <row r="1126" spans="1:3">
      <c r="A1126" s="24"/>
      <c r="B1126"/>
      <c r="C1126"/>
    </row>
    <row r="1127" spans="1:3">
      <c r="A1127" s="24"/>
      <c r="B1127"/>
      <c r="C1127"/>
    </row>
    <row r="1128" spans="1:3">
      <c r="A1128" s="24"/>
      <c r="B1128"/>
      <c r="C1128"/>
    </row>
    <row r="1129" spans="1:3">
      <c r="A1129" s="24"/>
      <c r="B1129"/>
      <c r="C1129"/>
    </row>
    <row r="1130" spans="1:3">
      <c r="A1130" s="24"/>
      <c r="B1130"/>
      <c r="C1130"/>
    </row>
    <row r="1131" spans="1:3">
      <c r="A1131" s="24"/>
      <c r="B1131"/>
      <c r="C1131"/>
    </row>
    <row r="1132" spans="1:3">
      <c r="A1132" s="24"/>
      <c r="B1132"/>
      <c r="C1132"/>
    </row>
    <row r="1133" spans="1:3">
      <c r="A1133" s="24"/>
      <c r="B1133"/>
      <c r="C1133"/>
    </row>
    <row r="1134" spans="1:3">
      <c r="A1134" s="24"/>
      <c r="B1134"/>
      <c r="C1134"/>
    </row>
    <row r="1135" spans="1:3">
      <c r="A1135" s="24"/>
      <c r="B1135"/>
      <c r="C1135"/>
    </row>
    <row r="1136" spans="1:3">
      <c r="A1136" s="24"/>
      <c r="B1136"/>
      <c r="C1136"/>
    </row>
    <row r="1137" spans="1:3">
      <c r="A1137" s="24"/>
      <c r="B1137"/>
      <c r="C1137"/>
    </row>
    <row r="1138" spans="1:3">
      <c r="A1138" s="24"/>
      <c r="B1138"/>
      <c r="C1138"/>
    </row>
    <row r="1139" spans="1:3">
      <c r="A1139" s="24"/>
      <c r="B1139"/>
      <c r="C1139"/>
    </row>
    <row r="1140" spans="1:3">
      <c r="A1140" s="24"/>
      <c r="B1140"/>
      <c r="C1140"/>
    </row>
    <row r="1141" spans="1:3">
      <c r="A1141" s="24"/>
      <c r="B1141"/>
      <c r="C1141"/>
    </row>
    <row r="1142" spans="1:3">
      <c r="A1142" s="24"/>
      <c r="B1142"/>
      <c r="C1142"/>
    </row>
    <row r="1143" spans="1:3">
      <c r="A1143" s="24"/>
      <c r="B1143"/>
      <c r="C1143"/>
    </row>
    <row r="1144" spans="1:3">
      <c r="A1144" s="24"/>
      <c r="B1144"/>
      <c r="C1144"/>
    </row>
    <row r="1145" spans="1:3">
      <c r="A1145" s="24"/>
      <c r="B1145"/>
      <c r="C1145"/>
    </row>
    <row r="1146" spans="1:3">
      <c r="A1146" s="24"/>
      <c r="B1146"/>
      <c r="C1146"/>
    </row>
    <row r="1147" spans="1:3">
      <c r="A1147" s="24"/>
      <c r="B1147"/>
      <c r="C1147"/>
    </row>
    <row r="1148" spans="1:3">
      <c r="A1148" s="24"/>
      <c r="B1148"/>
      <c r="C1148"/>
    </row>
    <row r="1149" spans="1:3">
      <c r="A1149" s="24"/>
      <c r="B1149"/>
      <c r="C1149"/>
    </row>
    <row r="1150" spans="1:3">
      <c r="A1150" s="24"/>
      <c r="B1150"/>
      <c r="C1150"/>
    </row>
    <row r="1151" spans="1:3">
      <c r="A1151" s="24"/>
      <c r="B1151"/>
      <c r="C1151"/>
    </row>
    <row r="1152" spans="1:3">
      <c r="A1152" s="24"/>
      <c r="B1152"/>
      <c r="C1152"/>
    </row>
    <row r="1153" spans="1:3">
      <c r="A1153" s="24"/>
      <c r="B1153"/>
      <c r="C1153"/>
    </row>
    <row r="1154" spans="1:3">
      <c r="A1154" s="24"/>
      <c r="B1154"/>
      <c r="C1154"/>
    </row>
    <row r="1155" spans="1:3">
      <c r="A1155" s="24"/>
      <c r="B1155"/>
      <c r="C1155"/>
    </row>
    <row r="1156" spans="1:3">
      <c r="A1156" s="24"/>
      <c r="B1156"/>
      <c r="C1156"/>
    </row>
    <row r="1157" spans="1:3">
      <c r="A1157" s="24"/>
      <c r="B1157"/>
      <c r="C1157"/>
    </row>
    <row r="1158" spans="1:3">
      <c r="A1158" s="24"/>
      <c r="B1158"/>
      <c r="C1158"/>
    </row>
    <row r="1159" spans="1:3">
      <c r="A1159" s="24"/>
      <c r="B1159"/>
      <c r="C1159"/>
    </row>
    <row r="1160" spans="1:3">
      <c r="A1160" s="24"/>
      <c r="B1160"/>
      <c r="C1160"/>
    </row>
    <row r="1161" spans="1:3">
      <c r="A1161" s="24"/>
      <c r="B1161"/>
      <c r="C1161"/>
    </row>
    <row r="1162" spans="1:3">
      <c r="A1162" s="24"/>
      <c r="B1162"/>
      <c r="C1162"/>
    </row>
    <row r="1163" spans="1:3">
      <c r="A1163" s="24"/>
      <c r="B1163"/>
      <c r="C1163"/>
    </row>
    <row r="1164" spans="1:3">
      <c r="A1164" s="24"/>
      <c r="B1164"/>
      <c r="C1164"/>
    </row>
    <row r="1165" spans="1:3">
      <c r="A1165" s="24"/>
      <c r="B1165"/>
      <c r="C1165"/>
    </row>
    <row r="1166" spans="1:3">
      <c r="A1166" s="24"/>
      <c r="B1166"/>
      <c r="C1166"/>
    </row>
    <row r="1167" spans="1:3">
      <c r="A1167" s="24"/>
      <c r="B1167"/>
      <c r="C1167"/>
    </row>
    <row r="1168" spans="1:3">
      <c r="A1168" s="24"/>
      <c r="B1168"/>
      <c r="C1168"/>
    </row>
    <row r="1169" spans="1:3">
      <c r="A1169" s="24"/>
      <c r="B1169"/>
      <c r="C1169"/>
    </row>
    <row r="1170" spans="1:3">
      <c r="A1170" s="24"/>
      <c r="B1170"/>
      <c r="C1170"/>
    </row>
    <row r="1171" spans="1:3">
      <c r="A1171" s="24"/>
      <c r="B1171"/>
      <c r="C1171"/>
    </row>
    <row r="1172" spans="1:3">
      <c r="A1172" s="24"/>
      <c r="B1172"/>
      <c r="C1172"/>
    </row>
    <row r="1173" spans="1:3">
      <c r="A1173" s="24"/>
      <c r="B1173"/>
      <c r="C1173"/>
    </row>
    <row r="1174" spans="1:3">
      <c r="A1174" s="24"/>
      <c r="B1174"/>
      <c r="C1174"/>
    </row>
    <row r="1175" spans="1:3">
      <c r="A1175" s="24"/>
      <c r="B1175"/>
      <c r="C1175"/>
    </row>
    <row r="1176" spans="1:3">
      <c r="A1176" s="24"/>
      <c r="B1176"/>
      <c r="C1176"/>
    </row>
    <row r="1177" spans="1:3">
      <c r="A1177" s="24"/>
      <c r="B1177"/>
      <c r="C1177"/>
    </row>
    <row r="1178" spans="1:3">
      <c r="A1178" s="24"/>
      <c r="B1178"/>
      <c r="C1178"/>
    </row>
    <row r="1179" spans="1:3">
      <c r="A1179" s="24"/>
      <c r="B1179"/>
      <c r="C1179"/>
    </row>
    <row r="1180" spans="1:3">
      <c r="A1180" s="24"/>
      <c r="B1180"/>
      <c r="C1180"/>
    </row>
    <row r="1181" spans="1:3">
      <c r="A1181" s="24"/>
      <c r="B1181"/>
      <c r="C1181"/>
    </row>
    <row r="1182" spans="1:3">
      <c r="A1182" s="24"/>
      <c r="B1182"/>
      <c r="C1182"/>
    </row>
    <row r="1183" spans="1:3">
      <c r="A1183" s="24"/>
      <c r="B1183"/>
      <c r="C1183"/>
    </row>
    <row r="1184" spans="1:3">
      <c r="A1184" s="24"/>
      <c r="B1184"/>
      <c r="C1184"/>
    </row>
    <row r="1185" spans="1:3">
      <c r="A1185" s="24"/>
      <c r="B1185"/>
      <c r="C1185"/>
    </row>
    <row r="1186" spans="1:3">
      <c r="A1186" s="24"/>
      <c r="B1186"/>
      <c r="C1186"/>
    </row>
    <row r="1187" spans="1:3">
      <c r="A1187" s="24"/>
      <c r="B1187"/>
      <c r="C1187"/>
    </row>
    <row r="1188" spans="1:3">
      <c r="A1188" s="24"/>
      <c r="B1188"/>
      <c r="C1188"/>
    </row>
    <row r="1189" spans="1:3">
      <c r="A1189" s="24"/>
      <c r="B1189"/>
      <c r="C1189"/>
    </row>
    <row r="1190" spans="1:3">
      <c r="A1190" s="24"/>
      <c r="B1190"/>
      <c r="C1190"/>
    </row>
    <row r="1191" spans="1:3">
      <c r="A1191" s="24"/>
      <c r="B1191"/>
      <c r="C1191"/>
    </row>
    <row r="1192" spans="1:3">
      <c r="A1192" s="24"/>
      <c r="B1192"/>
      <c r="C1192"/>
    </row>
    <row r="1193" spans="1:3">
      <c r="A1193" s="24"/>
      <c r="B1193"/>
      <c r="C1193"/>
    </row>
    <row r="1194" spans="1:3">
      <c r="A1194" s="24"/>
      <c r="B1194"/>
      <c r="C1194"/>
    </row>
    <row r="1195" spans="1:3">
      <c r="A1195" s="24"/>
      <c r="B1195"/>
      <c r="C1195"/>
    </row>
    <row r="1196" spans="1:3">
      <c r="A1196" s="24"/>
      <c r="B1196"/>
      <c r="C1196"/>
    </row>
    <row r="1197" spans="1:3">
      <c r="A1197" s="24"/>
      <c r="B1197"/>
      <c r="C1197"/>
    </row>
    <row r="1198" spans="1:3">
      <c r="A1198" s="24"/>
      <c r="B1198"/>
      <c r="C1198"/>
    </row>
    <row r="1199" spans="1:3">
      <c r="A1199" s="24"/>
      <c r="B1199"/>
      <c r="C1199"/>
    </row>
    <row r="1200" spans="1:3">
      <c r="A1200" s="24"/>
      <c r="B1200"/>
      <c r="C1200"/>
    </row>
    <row r="1201" spans="1:3">
      <c r="A1201" s="24"/>
      <c r="B1201"/>
      <c r="C1201"/>
    </row>
    <row r="1202" spans="1:3">
      <c r="A1202" s="24"/>
      <c r="B1202"/>
      <c r="C1202"/>
    </row>
    <row r="1203" spans="1:3">
      <c r="A1203" s="24"/>
      <c r="B1203"/>
      <c r="C1203"/>
    </row>
    <row r="1204" spans="1:3">
      <c r="A1204" s="24"/>
      <c r="B1204"/>
      <c r="C1204"/>
    </row>
    <row r="1205" spans="1:3">
      <c r="A1205" s="24"/>
      <c r="B1205"/>
      <c r="C1205"/>
    </row>
    <row r="1206" spans="1:3">
      <c r="A1206" s="24"/>
      <c r="B1206"/>
      <c r="C1206"/>
    </row>
    <row r="1207" spans="1:3">
      <c r="A1207" s="24"/>
      <c r="B1207"/>
      <c r="C1207"/>
    </row>
    <row r="1208" spans="1:3">
      <c r="A1208" s="24"/>
      <c r="B1208"/>
      <c r="C1208"/>
    </row>
    <row r="1209" spans="1:3">
      <c r="A1209" s="24"/>
      <c r="B1209"/>
      <c r="C1209"/>
    </row>
    <row r="1210" spans="1:3">
      <c r="A1210" s="24"/>
      <c r="B1210"/>
      <c r="C1210"/>
    </row>
    <row r="1211" spans="1:3">
      <c r="A1211" s="24"/>
      <c r="B1211"/>
      <c r="C1211"/>
    </row>
    <row r="1212" spans="1:3">
      <c r="A1212" s="24"/>
      <c r="B1212"/>
      <c r="C1212"/>
    </row>
    <row r="1213" spans="1:3">
      <c r="A1213" s="24"/>
      <c r="B1213"/>
      <c r="C1213"/>
    </row>
    <row r="1214" spans="1:3">
      <c r="A1214" s="24"/>
      <c r="B1214"/>
      <c r="C1214"/>
    </row>
    <row r="1215" spans="1:3">
      <c r="A1215" s="24"/>
      <c r="B1215"/>
      <c r="C1215"/>
    </row>
    <row r="1216" spans="1:3">
      <c r="A1216" s="24"/>
      <c r="B1216"/>
      <c r="C1216"/>
    </row>
    <row r="1217" spans="1:3">
      <c r="A1217" s="24"/>
      <c r="B1217"/>
      <c r="C1217"/>
    </row>
    <row r="1218" spans="1:3">
      <c r="A1218" s="24"/>
      <c r="B1218"/>
      <c r="C1218"/>
    </row>
    <row r="1219" spans="1:3">
      <c r="A1219" s="24"/>
      <c r="B1219"/>
      <c r="C1219"/>
    </row>
    <row r="1220" spans="1:3">
      <c r="A1220" s="24"/>
      <c r="B1220"/>
      <c r="C1220"/>
    </row>
    <row r="1221" spans="1:3">
      <c r="A1221" s="24"/>
      <c r="B1221"/>
      <c r="C1221"/>
    </row>
    <row r="1222" spans="1:3">
      <c r="A1222" s="24"/>
      <c r="B1222"/>
      <c r="C1222"/>
    </row>
    <row r="1223" spans="1:3">
      <c r="A1223" s="24"/>
      <c r="B1223"/>
      <c r="C1223"/>
    </row>
    <row r="1224" spans="1:3">
      <c r="A1224" s="24"/>
      <c r="B1224"/>
      <c r="C1224"/>
    </row>
    <row r="1225" spans="1:3">
      <c r="A1225" s="24"/>
      <c r="B1225"/>
      <c r="C1225"/>
    </row>
    <row r="1226" spans="1:3">
      <c r="A1226" s="24"/>
      <c r="B1226"/>
      <c r="C1226"/>
    </row>
    <row r="1227" spans="1:3">
      <c r="A1227" s="24"/>
      <c r="B1227"/>
      <c r="C1227"/>
    </row>
    <row r="1228" spans="1:3">
      <c r="A1228" s="24"/>
      <c r="B1228"/>
      <c r="C1228"/>
    </row>
    <row r="1229" spans="1:3">
      <c r="A1229" s="24"/>
      <c r="B1229"/>
      <c r="C1229"/>
    </row>
    <row r="1230" spans="1:3">
      <c r="A1230" s="24"/>
      <c r="B1230"/>
      <c r="C1230"/>
    </row>
    <row r="1231" spans="1:3">
      <c r="A1231" s="24"/>
      <c r="B1231"/>
      <c r="C1231"/>
    </row>
    <row r="1232" spans="1:3">
      <c r="A1232" s="24"/>
      <c r="B1232"/>
      <c r="C1232"/>
    </row>
    <row r="1233" spans="1:3">
      <c r="A1233" s="24"/>
      <c r="B1233"/>
      <c r="C1233"/>
    </row>
    <row r="1234" spans="1:3">
      <c r="A1234" s="24"/>
      <c r="B1234"/>
      <c r="C1234"/>
    </row>
    <row r="1235" spans="1:3">
      <c r="A1235" s="24"/>
      <c r="B1235"/>
      <c r="C1235"/>
    </row>
    <row r="1236" spans="1:3">
      <c r="A1236" s="24"/>
      <c r="B1236"/>
      <c r="C1236"/>
    </row>
    <row r="1237" spans="1:3">
      <c r="A1237" s="24"/>
      <c r="B1237"/>
      <c r="C1237"/>
    </row>
  </sheetData>
  <sortState xmlns:xlrd2="http://schemas.microsoft.com/office/spreadsheetml/2017/richdata2" ref="A2:C88">
    <sortCondition ref="B14"/>
  </sortState>
  <conditionalFormatting sqref="A1:A1048576">
    <cfRule type="duplicateValues" dxfId="1" priority="1"/>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4EAAB423C2AD4F9E716C964328C15F" ma:contentTypeVersion="20" ma:contentTypeDescription="Create a new document." ma:contentTypeScope="" ma:versionID="01c6643d0f26a0d7cacac0dd96b1e590">
  <xsd:schema xmlns:xsd="http://www.w3.org/2001/XMLSchema" xmlns:xs="http://www.w3.org/2001/XMLSchema" xmlns:p="http://schemas.microsoft.com/office/2006/metadata/properties" xmlns:ns2="f40b3bed-991c-4f1f-9472-bc970bd8a5cf" xmlns:ns3="acafcbf6-48c5-4daf-971b-c5fe77e9609f" targetNamespace="http://schemas.microsoft.com/office/2006/metadata/properties" ma:root="true" ma:fieldsID="541496e93d05f33f60b246a546e95f84" ns2:_="" ns3:_="">
    <xsd:import namespace="f40b3bed-991c-4f1f-9472-bc970bd8a5cf"/>
    <xsd:import namespace="acafcbf6-48c5-4daf-971b-c5fe77e9609f"/>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RequestID" minOccurs="0"/>
                <xsd:element ref="ns2:MediaLengthInSeconds" minOccurs="0"/>
                <xsd:element ref="ns2:MediaServiceLocation" minOccurs="0"/>
                <xsd:element ref="ns2:Creator"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b3bed-991c-4f1f-9472-bc970bd8a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RequestID" ma:index="21" nillable="true" ma:displayName="RequestID" ma:format="Dropdown" ma:internalName="RequestID">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Creator" ma:index="24" nillable="true" ma:displayName="Creator" ma:format="Dropdown" ma:list="UserInfo" ma:SharePointGroup="0" ma:internalName="Cre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mage" ma:index="25"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afcbf6-48c5-4daf-971b-c5fe77e9609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eefc701-9f1f-4a85-8cd8-3211bcae7aac}" ma:internalName="TaxCatchAll" ma:showField="CatchAllData" ma:web="acafcbf6-48c5-4daf-971b-c5fe77e9609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cafcbf6-48c5-4daf-971b-c5fe77e9609f" xsi:nil="true"/>
    <lcf76f155ced4ddcb4097134ff3c332f xmlns="f40b3bed-991c-4f1f-9472-bc970bd8a5cf">
      <Terms xmlns="http://schemas.microsoft.com/office/infopath/2007/PartnerControls"/>
    </lcf76f155ced4ddcb4097134ff3c332f>
    <Image xmlns="f40b3bed-991c-4f1f-9472-bc970bd8a5cf" xsi:nil="true"/>
    <Creator xmlns="f40b3bed-991c-4f1f-9472-bc970bd8a5cf">
      <UserInfo>
        <DisplayName/>
        <AccountId xsi:nil="true"/>
        <AccountType/>
      </UserInfo>
    </Creator>
    <RequestID xmlns="f40b3bed-991c-4f1f-9472-bc970bd8a5cf" xsi:nil="true"/>
  </documentManagement>
</p:properties>
</file>

<file path=customXml/itemProps1.xml><?xml version="1.0" encoding="utf-8"?>
<ds:datastoreItem xmlns:ds="http://schemas.openxmlformats.org/officeDocument/2006/customXml" ds:itemID="{C420C85C-882C-4D6C-95CD-FBB01622C0B6}"/>
</file>

<file path=customXml/itemProps2.xml><?xml version="1.0" encoding="utf-8"?>
<ds:datastoreItem xmlns:ds="http://schemas.openxmlformats.org/officeDocument/2006/customXml" ds:itemID="{9211A7FE-C6F3-4859-A4D7-893AF1D91D36}"/>
</file>

<file path=customXml/itemProps3.xml><?xml version="1.0" encoding="utf-8"?>
<ds:datastoreItem xmlns:ds="http://schemas.openxmlformats.org/officeDocument/2006/customXml" ds:itemID="{8328ECB1-2F90-4946-8A74-47BC89C51ACA}"/>
</file>

<file path=docProps/app.xml><?xml version="1.0" encoding="utf-8"?>
<Properties xmlns="http://schemas.openxmlformats.org/officeDocument/2006/extended-properties" xmlns:vt="http://schemas.openxmlformats.org/officeDocument/2006/docPropsVTypes">
  <Application>Microsoft Excel Online</Application>
  <Manager/>
  <Company>DEED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Thu-Mai Ho-Kim</dc:creator>
  <cp:keywords/>
  <dc:description/>
  <cp:lastModifiedBy/>
  <cp:revision/>
  <dcterms:created xsi:type="dcterms:W3CDTF">2020-09-11T18:41:32Z</dcterms:created>
  <dcterms:modified xsi:type="dcterms:W3CDTF">2026-05-06T20:03:11Z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0x010100EA4EAAB423C2AD4F9E716C964328C15F</vt:lpwstr>
  </property>
</Properties>
</file>