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cadmus.sharepoint.com/sites/CP6794/Shared Documents/MN TRM Update/Admin Documents/Project Folders/L - 4.0 TRM Update/Measure Research/Heat Pumps/"/>
    </mc:Choice>
  </mc:AlternateContent>
  <xr:revisionPtr revIDLastSave="6336" documentId="8_{45B2B60F-DB31-4E5C-8DC4-D99EF117187D}" xr6:coauthVersionLast="47" xr6:coauthVersionMax="47" xr10:uidLastSave="{93132A14-F0EF-40A7-9B91-D1650EDA1CC4}"/>
  <bookViews>
    <workbookView xWindow="450" yWindow="1110" windowWidth="24060" windowHeight="14670" xr2:uid="{E6366F4C-53CD-4221-8E13-1CD09873B72E}"/>
  </bookViews>
  <sheets>
    <sheet name="Heating Savings_Fuel Switching" sheetId="6" r:id="rId1"/>
    <sheet name="Cooling Savings" sheetId="10" r:id="rId2"/>
    <sheet name="SAS MN Bin Data by Zone" sheetId="8" r:id="rId3"/>
    <sheet name="ASHP Derating Scale" sheetId="12" r:id="rId4"/>
    <sheet name="Case studies" sheetId="3"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7" i="10" l="1"/>
  <c r="R7" i="10"/>
  <c r="Q7" i="10"/>
  <c r="BF44" i="6"/>
  <c r="BE44" i="6"/>
  <c r="BA44" i="6"/>
  <c r="AZ44" i="6"/>
  <c r="AV44" i="6"/>
  <c r="AU44" i="6"/>
  <c r="AR44" i="6"/>
  <c r="AQ44" i="6"/>
  <c r="AP44" i="6"/>
  <c r="AL44" i="6"/>
  <c r="AK44" i="6"/>
  <c r="AG44" i="6"/>
  <c r="AF44" i="6"/>
  <c r="AB44" i="6"/>
  <c r="AA44" i="6"/>
  <c r="W44" i="6"/>
  <c r="V44" i="6"/>
  <c r="X81" i="6"/>
  <c r="H98" i="6"/>
  <c r="H97" i="6"/>
  <c r="AR49" i="6"/>
  <c r="AH49" i="6"/>
  <c r="AR64" i="6"/>
  <c r="AH64" i="6"/>
  <c r="X49" i="6"/>
  <c r="X73" i="6"/>
  <c r="X74" i="6"/>
  <c r="X64" i="6"/>
  <c r="W36" i="6"/>
  <c r="X36" i="6"/>
  <c r="V36" i="6"/>
  <c r="X63" i="6"/>
  <c r="BK64" i="6"/>
  <c r="BL64" i="6"/>
  <c r="BJ64" i="6"/>
  <c r="BK63" i="6"/>
  <c r="BL63" i="6"/>
  <c r="BJ63" i="6"/>
  <c r="BK49" i="6"/>
  <c r="BL49" i="6"/>
  <c r="BJ49" i="6"/>
  <c r="BG64" i="6"/>
  <c r="BF64" i="6"/>
  <c r="BE64" i="6"/>
  <c r="BB64" i="6"/>
  <c r="BA64" i="6"/>
  <c r="AZ64" i="6"/>
  <c r="AW64" i="6"/>
  <c r="AV64" i="6"/>
  <c r="AU64" i="6"/>
  <c r="AM64" i="6"/>
  <c r="AL64" i="6"/>
  <c r="AK64" i="6"/>
  <c r="AC64" i="6"/>
  <c r="AB64" i="6"/>
  <c r="AA64" i="6"/>
  <c r="V59" i="6"/>
  <c r="BL35" i="6"/>
  <c r="BL36" i="6" s="1"/>
  <c r="BK35" i="6"/>
  <c r="BK36" i="6" s="1"/>
  <c r="BJ35" i="6"/>
  <c r="BJ36" i="6" s="1"/>
  <c r="BG35" i="6"/>
  <c r="BG36" i="6" s="1"/>
  <c r="BF35" i="6"/>
  <c r="BF36" i="6" s="1"/>
  <c r="BE35" i="6"/>
  <c r="BE36" i="6" s="1"/>
  <c r="BB35" i="6"/>
  <c r="BB36" i="6" s="1"/>
  <c r="BA35" i="6"/>
  <c r="BA36" i="6" s="1"/>
  <c r="AZ35" i="6"/>
  <c r="AZ36" i="6" s="1"/>
  <c r="AW35" i="6"/>
  <c r="AW36" i="6" s="1"/>
  <c r="AV35" i="6"/>
  <c r="AV36" i="6" s="1"/>
  <c r="AU35" i="6"/>
  <c r="AU36" i="6" s="1"/>
  <c r="AR35" i="6"/>
  <c r="AR36" i="6" s="1"/>
  <c r="AQ35" i="6"/>
  <c r="AQ36" i="6" s="1"/>
  <c r="AP35" i="6"/>
  <c r="AP36" i="6" s="1"/>
  <c r="AM35" i="6"/>
  <c r="AM36" i="6" s="1"/>
  <c r="AL35" i="6"/>
  <c r="AL36" i="6" s="1"/>
  <c r="AK35" i="6"/>
  <c r="AK36" i="6" s="1"/>
  <c r="AH35" i="6"/>
  <c r="AH36" i="6" s="1"/>
  <c r="AG35" i="6"/>
  <c r="AG36" i="6" s="1"/>
  <c r="AF35" i="6"/>
  <c r="AF36" i="6" s="1"/>
  <c r="AC35" i="6"/>
  <c r="AC36" i="6" s="1"/>
  <c r="AB35" i="6"/>
  <c r="AB36" i="6" s="1"/>
  <c r="AA35" i="6"/>
  <c r="AA36" i="6" s="1"/>
  <c r="X35" i="6"/>
  <c r="W35" i="6"/>
  <c r="V35" i="6"/>
  <c r="V37" i="6"/>
  <c r="V38" i="6"/>
  <c r="S12" i="12"/>
  <c r="S20" i="12"/>
  <c r="S7" i="12"/>
  <c r="U7" i="12" s="1"/>
  <c r="U8" i="12" s="1"/>
  <c r="U9" i="12" s="1"/>
  <c r="U10" i="12" s="1"/>
  <c r="AE38" i="12"/>
  <c r="AE39" i="12"/>
  <c r="AE40" i="12"/>
  <c r="AE41" i="12"/>
  <c r="AD37" i="12"/>
  <c r="AD38" i="12"/>
  <c r="AD39" i="12"/>
  <c r="AD40" i="12"/>
  <c r="AD41" i="12"/>
  <c r="AC41" i="12"/>
  <c r="AH41" i="12"/>
  <c r="AJ41" i="12"/>
  <c r="AL7" i="12"/>
  <c r="AL8" i="12"/>
  <c r="AL9" i="12"/>
  <c r="AL10" i="12"/>
  <c r="AL11" i="12"/>
  <c r="AL12" i="12"/>
  <c r="AL13" i="12"/>
  <c r="AL14" i="12"/>
  <c r="AL15" i="12"/>
  <c r="AL16" i="12"/>
  <c r="AL17" i="12"/>
  <c r="AL18" i="12"/>
  <c r="AL19" i="12"/>
  <c r="AL20" i="12"/>
  <c r="AL21" i="12"/>
  <c r="AL22" i="12"/>
  <c r="AL23" i="12"/>
  <c r="AL24" i="12"/>
  <c r="AL25" i="12"/>
  <c r="AL26" i="12"/>
  <c r="AL27" i="12"/>
  <c r="AL28" i="12"/>
  <c r="AL29" i="12"/>
  <c r="AL30" i="12"/>
  <c r="AL31" i="12"/>
  <c r="AL32" i="12"/>
  <c r="AL33" i="12"/>
  <c r="AL34" i="12"/>
  <c r="AL35" i="12"/>
  <c r="AL36" i="12"/>
  <c r="AL37" i="12"/>
  <c r="AK7" i="12"/>
  <c r="AK8" i="12"/>
  <c r="AK9" i="12"/>
  <c r="AK10" i="12"/>
  <c r="AK11" i="12"/>
  <c r="AK12" i="12"/>
  <c r="AK13" i="12"/>
  <c r="AK14" i="12"/>
  <c r="AK15" i="12"/>
  <c r="AK16" i="12"/>
  <c r="AK17" i="12"/>
  <c r="AK18" i="12"/>
  <c r="AK19" i="12"/>
  <c r="AK20" i="12"/>
  <c r="AK21" i="12"/>
  <c r="AK22" i="12"/>
  <c r="AK23" i="12"/>
  <c r="AK24" i="12"/>
  <c r="AK25" i="12"/>
  <c r="AK26" i="12"/>
  <c r="AK27" i="12"/>
  <c r="AK28" i="12"/>
  <c r="AK29" i="12"/>
  <c r="AK30" i="12"/>
  <c r="AK31" i="12"/>
  <c r="AK32" i="12"/>
  <c r="AK33" i="12"/>
  <c r="AK34" i="12"/>
  <c r="AK35" i="12"/>
  <c r="AK36" i="12"/>
  <c r="AK37" i="12"/>
  <c r="AJ7" i="12"/>
  <c r="AJ8" i="12"/>
  <c r="AJ9" i="12"/>
  <c r="AJ10" i="12"/>
  <c r="AJ11" i="12"/>
  <c r="AJ12" i="12"/>
  <c r="AJ13" i="12"/>
  <c r="AJ14" i="12"/>
  <c r="AJ15" i="12"/>
  <c r="AJ16" i="12"/>
  <c r="AJ17" i="12"/>
  <c r="AJ18" i="12"/>
  <c r="AJ19" i="12"/>
  <c r="AJ20" i="12"/>
  <c r="AJ21" i="12"/>
  <c r="AJ22" i="12"/>
  <c r="AJ23" i="12"/>
  <c r="AJ24" i="12"/>
  <c r="AJ25" i="12"/>
  <c r="AJ26" i="12"/>
  <c r="AJ27" i="12"/>
  <c r="AJ28" i="12"/>
  <c r="AJ29" i="12"/>
  <c r="AJ30" i="12"/>
  <c r="AJ31" i="12"/>
  <c r="AJ32" i="12"/>
  <c r="AJ33" i="12"/>
  <c r="AJ34" i="12"/>
  <c r="AJ35" i="12"/>
  <c r="AJ36" i="12"/>
  <c r="AJ37" i="12"/>
  <c r="AJ38" i="12"/>
  <c r="AJ39" i="12"/>
  <c r="AJ40" i="12"/>
  <c r="AI7" i="12"/>
  <c r="AI8" i="12"/>
  <c r="AI9" i="12"/>
  <c r="AI10" i="12"/>
  <c r="AI11" i="12"/>
  <c r="AI12" i="12"/>
  <c r="AI13" i="12"/>
  <c r="AI14" i="12"/>
  <c r="AI15" i="12"/>
  <c r="AI16" i="12"/>
  <c r="AI17" i="12"/>
  <c r="AI18" i="12"/>
  <c r="AI19" i="12"/>
  <c r="AI20" i="12"/>
  <c r="AI21" i="12"/>
  <c r="AI22" i="12"/>
  <c r="AI23" i="12"/>
  <c r="AI24" i="12"/>
  <c r="AI25" i="12"/>
  <c r="AI26" i="12"/>
  <c r="AI27" i="12"/>
  <c r="AI28" i="12"/>
  <c r="AI29" i="12"/>
  <c r="AI30" i="12"/>
  <c r="AI31" i="12"/>
  <c r="AI32" i="12"/>
  <c r="AI33" i="12"/>
  <c r="AI34" i="12"/>
  <c r="AI35" i="12"/>
  <c r="AI36" i="12"/>
  <c r="AI37" i="12"/>
  <c r="AH7" i="12"/>
  <c r="AH8" i="12"/>
  <c r="AH9" i="12"/>
  <c r="AH10" i="12"/>
  <c r="AH11" i="12"/>
  <c r="AH12" i="12"/>
  <c r="AH13" i="12"/>
  <c r="AH14" i="12"/>
  <c r="AH15" i="12"/>
  <c r="AH16" i="12"/>
  <c r="O7" i="12" s="1"/>
  <c r="AH17" i="12"/>
  <c r="O8" i="12" s="1"/>
  <c r="AH18" i="12"/>
  <c r="O9" i="12" s="1"/>
  <c r="AH19" i="12"/>
  <c r="O10" i="12" s="1"/>
  <c r="AH20" i="12"/>
  <c r="O11" i="12" s="1"/>
  <c r="AH21" i="12"/>
  <c r="O12" i="12" s="1"/>
  <c r="AH22" i="12"/>
  <c r="O13" i="12" s="1"/>
  <c r="AH23" i="12"/>
  <c r="O14" i="12" s="1"/>
  <c r="AH24" i="12"/>
  <c r="O15" i="12" s="1"/>
  <c r="AH25" i="12"/>
  <c r="O16" i="12" s="1"/>
  <c r="AH26" i="12"/>
  <c r="O17" i="12" s="1"/>
  <c r="AH27" i="12"/>
  <c r="O18" i="12" s="1"/>
  <c r="AH28" i="12"/>
  <c r="O19" i="12" s="1"/>
  <c r="AH29" i="12"/>
  <c r="O20" i="12" s="1"/>
  <c r="AH30" i="12"/>
  <c r="O21" i="12" s="1"/>
  <c r="AH31" i="12"/>
  <c r="O22" i="12" s="1"/>
  <c r="AH32" i="12"/>
  <c r="O23" i="12" s="1"/>
  <c r="AH33" i="12"/>
  <c r="O24" i="12" s="1"/>
  <c r="AH34" i="12"/>
  <c r="O25" i="12" s="1"/>
  <c r="AH35" i="12"/>
  <c r="O26" i="12" s="1"/>
  <c r="AH36" i="12"/>
  <c r="AH37" i="12"/>
  <c r="AH38" i="12"/>
  <c r="AH39" i="12"/>
  <c r="AH40" i="12"/>
  <c r="AG7" i="12"/>
  <c r="AG8" i="12"/>
  <c r="AG9" i="12"/>
  <c r="AG10" i="12"/>
  <c r="AG11" i="12"/>
  <c r="AG12" i="12"/>
  <c r="AG13" i="12"/>
  <c r="AG14" i="12"/>
  <c r="AG15" i="12"/>
  <c r="AG16" i="12"/>
  <c r="AG17" i="12"/>
  <c r="AG18" i="12"/>
  <c r="AG19" i="12"/>
  <c r="AG20" i="12"/>
  <c r="AG21" i="12"/>
  <c r="AG22" i="12"/>
  <c r="AG23" i="12"/>
  <c r="AG24" i="12"/>
  <c r="AG25" i="12"/>
  <c r="AG26" i="12"/>
  <c r="AG27" i="12"/>
  <c r="AG28" i="12"/>
  <c r="AG29" i="12"/>
  <c r="AG30" i="12"/>
  <c r="AG31" i="12"/>
  <c r="AG32" i="12"/>
  <c r="AG33" i="12"/>
  <c r="AG34" i="12"/>
  <c r="AG35" i="12"/>
  <c r="AG36" i="12"/>
  <c r="AG37" i="12"/>
  <c r="AF7" i="12"/>
  <c r="AF8" i="12"/>
  <c r="AF9" i="12"/>
  <c r="AF10" i="12"/>
  <c r="AF11" i="12"/>
  <c r="AF12" i="12"/>
  <c r="AF13" i="12"/>
  <c r="AF14" i="12"/>
  <c r="AF15" i="12"/>
  <c r="AF16" i="12"/>
  <c r="AF17" i="12"/>
  <c r="AF18" i="12"/>
  <c r="AF19" i="12"/>
  <c r="AF20" i="12"/>
  <c r="AF21" i="12"/>
  <c r="AF22" i="12"/>
  <c r="AF23" i="12"/>
  <c r="AF24" i="12"/>
  <c r="AF25" i="12"/>
  <c r="AF26" i="12"/>
  <c r="AF27" i="12"/>
  <c r="AF28" i="12"/>
  <c r="AF29" i="12"/>
  <c r="AF30" i="12"/>
  <c r="AF31" i="12"/>
  <c r="AF32" i="12"/>
  <c r="AF33" i="12"/>
  <c r="AF34" i="12"/>
  <c r="AF35" i="12"/>
  <c r="AF36" i="12"/>
  <c r="AF37" i="12"/>
  <c r="AE7" i="12"/>
  <c r="AE8" i="12"/>
  <c r="AE9" i="12"/>
  <c r="AE10" i="12"/>
  <c r="AE11" i="12"/>
  <c r="AE12" i="12"/>
  <c r="AE13" i="12"/>
  <c r="AE14" i="12"/>
  <c r="AE15" i="12"/>
  <c r="AE16" i="12"/>
  <c r="AE17" i="12"/>
  <c r="AE18" i="12"/>
  <c r="AE19" i="12"/>
  <c r="AE20" i="12"/>
  <c r="AE21" i="12"/>
  <c r="AE22" i="12"/>
  <c r="AE23" i="12"/>
  <c r="AE24" i="12"/>
  <c r="AE25" i="12"/>
  <c r="AE26" i="12"/>
  <c r="AE27" i="12"/>
  <c r="AE28" i="12"/>
  <c r="AE29" i="12"/>
  <c r="AE30" i="12"/>
  <c r="AE31" i="12"/>
  <c r="AE32" i="12"/>
  <c r="AE33" i="12"/>
  <c r="AE34" i="12"/>
  <c r="AE35" i="12"/>
  <c r="AE36" i="12"/>
  <c r="AE37" i="12"/>
  <c r="AM7" i="12"/>
  <c r="AM8" i="12"/>
  <c r="AM9" i="12"/>
  <c r="AM10" i="12"/>
  <c r="AM11" i="12"/>
  <c r="AM12" i="12"/>
  <c r="AM13" i="12"/>
  <c r="AM14" i="12"/>
  <c r="AM15" i="12"/>
  <c r="AM16" i="12"/>
  <c r="AM17" i="12"/>
  <c r="S8" i="12" s="1"/>
  <c r="AM18" i="12"/>
  <c r="S9" i="12" s="1"/>
  <c r="AM19" i="12"/>
  <c r="S10" i="12" s="1"/>
  <c r="AM20" i="12"/>
  <c r="S11" i="12" s="1"/>
  <c r="AM21" i="12"/>
  <c r="AM22" i="12"/>
  <c r="S13" i="12" s="1"/>
  <c r="AM23" i="12"/>
  <c r="S14" i="12" s="1"/>
  <c r="AM24" i="12"/>
  <c r="S15" i="12" s="1"/>
  <c r="AM25" i="12"/>
  <c r="S16" i="12" s="1"/>
  <c r="AM26" i="12"/>
  <c r="S17" i="12" s="1"/>
  <c r="AM27" i="12"/>
  <c r="S18" i="12" s="1"/>
  <c r="AM28" i="12"/>
  <c r="S19" i="12" s="1"/>
  <c r="AM29" i="12"/>
  <c r="AM30" i="12"/>
  <c r="S21" i="12" s="1"/>
  <c r="AM31" i="12"/>
  <c r="S22" i="12" s="1"/>
  <c r="AM32" i="12"/>
  <c r="S23" i="12" s="1"/>
  <c r="AM33" i="12"/>
  <c r="S24" i="12" s="1"/>
  <c r="AM34" i="12"/>
  <c r="S25" i="12" s="1"/>
  <c r="AM35" i="12"/>
  <c r="S26" i="12" s="1"/>
  <c r="AM36" i="12"/>
  <c r="AM37" i="12"/>
  <c r="AM38" i="12"/>
  <c r="AM39" i="12"/>
  <c r="AM40" i="12"/>
  <c r="AM41" i="12"/>
  <c r="AN7" i="12"/>
  <c r="AN8" i="12"/>
  <c r="AN9" i="12"/>
  <c r="AN10" i="12"/>
  <c r="AN11" i="12"/>
  <c r="AN12" i="12"/>
  <c r="AN13" i="12"/>
  <c r="AN14" i="12"/>
  <c r="AN15" i="12"/>
  <c r="AN16" i="12"/>
  <c r="AN17" i="12"/>
  <c r="AN18" i="12"/>
  <c r="AN19" i="12"/>
  <c r="AN20" i="12"/>
  <c r="AN21" i="12"/>
  <c r="AN22" i="12"/>
  <c r="AN23" i="12"/>
  <c r="AN24" i="12"/>
  <c r="AN25" i="12"/>
  <c r="AN26" i="12"/>
  <c r="AN27" i="12"/>
  <c r="AN28" i="12"/>
  <c r="AN29" i="12"/>
  <c r="AN30" i="12"/>
  <c r="AN31" i="12"/>
  <c r="AN32" i="12"/>
  <c r="AN33" i="12"/>
  <c r="AN34" i="12"/>
  <c r="AN35" i="12"/>
  <c r="AN36" i="12"/>
  <c r="AN37" i="12"/>
  <c r="AO7" i="12"/>
  <c r="AO8" i="12"/>
  <c r="AO9" i="12"/>
  <c r="AO10" i="12"/>
  <c r="AO11" i="12"/>
  <c r="AO12" i="12"/>
  <c r="AO13" i="12"/>
  <c r="AO14" i="12"/>
  <c r="AO15" i="12"/>
  <c r="AO16" i="12"/>
  <c r="AO17" i="12"/>
  <c r="AO18" i="12"/>
  <c r="AO19" i="12"/>
  <c r="AO20" i="12"/>
  <c r="AO21" i="12"/>
  <c r="AO22" i="12"/>
  <c r="AO23" i="12"/>
  <c r="AO24" i="12"/>
  <c r="AO25" i="12"/>
  <c r="AO26" i="12"/>
  <c r="AO27" i="12"/>
  <c r="AO28" i="12"/>
  <c r="AO29" i="12"/>
  <c r="AO30" i="12"/>
  <c r="AO31" i="12"/>
  <c r="AO32" i="12"/>
  <c r="AO33" i="12"/>
  <c r="AO34" i="12"/>
  <c r="AO35" i="12"/>
  <c r="AO36" i="12"/>
  <c r="AO37" i="12"/>
  <c r="AO38" i="12"/>
  <c r="AO39" i="12"/>
  <c r="AO40" i="12"/>
  <c r="AO41" i="12"/>
  <c r="AR41" i="12"/>
  <c r="AP7" i="12"/>
  <c r="AP8" i="12"/>
  <c r="AP9" i="12"/>
  <c r="AP10" i="12"/>
  <c r="AP11" i="12"/>
  <c r="AP12" i="12"/>
  <c r="AP13" i="12"/>
  <c r="AP14" i="12"/>
  <c r="AP15" i="12"/>
  <c r="AP16" i="12"/>
  <c r="AP17" i="12"/>
  <c r="AP18" i="12"/>
  <c r="AP19" i="12"/>
  <c r="AP20" i="12"/>
  <c r="AP21" i="12"/>
  <c r="AP22" i="12"/>
  <c r="AP23" i="12"/>
  <c r="AP24" i="12"/>
  <c r="AP25" i="12"/>
  <c r="AP26" i="12"/>
  <c r="AP27" i="12"/>
  <c r="AP28" i="12"/>
  <c r="AP29" i="12"/>
  <c r="AP30" i="12"/>
  <c r="AP31" i="12"/>
  <c r="AP32" i="12"/>
  <c r="AP33" i="12"/>
  <c r="AP34" i="12"/>
  <c r="AP35" i="12"/>
  <c r="AP36" i="12"/>
  <c r="AP37" i="12"/>
  <c r="AQ7" i="12"/>
  <c r="AQ8" i="12"/>
  <c r="AQ9" i="12"/>
  <c r="AQ10" i="12"/>
  <c r="AQ11" i="12"/>
  <c r="AQ12" i="12"/>
  <c r="AQ13" i="12"/>
  <c r="AQ14" i="12"/>
  <c r="AQ15" i="12"/>
  <c r="AQ16" i="12"/>
  <c r="AQ17" i="12"/>
  <c r="AQ18" i="12"/>
  <c r="AQ19" i="12"/>
  <c r="AQ20" i="12"/>
  <c r="AQ21" i="12"/>
  <c r="AQ22" i="12"/>
  <c r="AQ23" i="12"/>
  <c r="AQ24" i="12"/>
  <c r="AQ25" i="12"/>
  <c r="AQ26" i="12"/>
  <c r="AQ27" i="12"/>
  <c r="AQ28" i="12"/>
  <c r="AQ29" i="12"/>
  <c r="AQ30" i="12"/>
  <c r="AQ31" i="12"/>
  <c r="AQ32" i="12"/>
  <c r="AQ33" i="12"/>
  <c r="AQ34" i="12"/>
  <c r="AQ35" i="12"/>
  <c r="AQ36" i="12"/>
  <c r="AQ37" i="12"/>
  <c r="AR7" i="12"/>
  <c r="AR8" i="12"/>
  <c r="AR9" i="12"/>
  <c r="AR10" i="12"/>
  <c r="AR11" i="12"/>
  <c r="AR12" i="12"/>
  <c r="AR13" i="12"/>
  <c r="AR14" i="12"/>
  <c r="AR15" i="12"/>
  <c r="AR16" i="12"/>
  <c r="W7" i="12" s="1"/>
  <c r="AR17" i="12"/>
  <c r="W8" i="12" s="1"/>
  <c r="AR18" i="12"/>
  <c r="W9" i="12" s="1"/>
  <c r="AR19" i="12"/>
  <c r="W10" i="12" s="1"/>
  <c r="AR20" i="12"/>
  <c r="W11" i="12" s="1"/>
  <c r="AR21" i="12"/>
  <c r="W12" i="12" s="1"/>
  <c r="AR22" i="12"/>
  <c r="W13" i="12" s="1"/>
  <c r="AR23" i="12"/>
  <c r="W14" i="12" s="1"/>
  <c r="AR24" i="12"/>
  <c r="W15" i="12" s="1"/>
  <c r="AR25" i="12"/>
  <c r="W16" i="12" s="1"/>
  <c r="AR26" i="12"/>
  <c r="W17" i="12" s="1"/>
  <c r="AR27" i="12"/>
  <c r="W18" i="12" s="1"/>
  <c r="AR28" i="12"/>
  <c r="W19" i="12" s="1"/>
  <c r="AR29" i="12"/>
  <c r="W20" i="12" s="1"/>
  <c r="AR30" i="12"/>
  <c r="W21" i="12" s="1"/>
  <c r="AR31" i="12"/>
  <c r="W22" i="12" s="1"/>
  <c r="AR32" i="12"/>
  <c r="W23" i="12" s="1"/>
  <c r="AR33" i="12"/>
  <c r="W24" i="12" s="1"/>
  <c r="AR34" i="12"/>
  <c r="W25" i="12" s="1"/>
  <c r="AR35" i="12"/>
  <c r="W26" i="12" s="1"/>
  <c r="AR36" i="12"/>
  <c r="AR37" i="12"/>
  <c r="AR38" i="12"/>
  <c r="AR39" i="12"/>
  <c r="AR40" i="12"/>
  <c r="AR6" i="12"/>
  <c r="AO6" i="12"/>
  <c r="AP6" i="12"/>
  <c r="AQ6" i="12"/>
  <c r="AN6" i="12"/>
  <c r="AD5" i="12"/>
  <c r="AI5" i="12"/>
  <c r="AN5" i="12"/>
  <c r="AD6" i="12"/>
  <c r="AE6" i="12"/>
  <c r="AF6" i="12"/>
  <c r="AG6" i="12"/>
  <c r="AH6" i="12"/>
  <c r="AI6" i="12"/>
  <c r="AJ6" i="12"/>
  <c r="AK6" i="12"/>
  <c r="AL6" i="12"/>
  <c r="AM6" i="12"/>
  <c r="AD7" i="12"/>
  <c r="AD8" i="12"/>
  <c r="AD9" i="12"/>
  <c r="AD10" i="12"/>
  <c r="AD11" i="12"/>
  <c r="AD12" i="12"/>
  <c r="AD13" i="12"/>
  <c r="AD14" i="12"/>
  <c r="AD15" i="12"/>
  <c r="AD16" i="12"/>
  <c r="AD17" i="12"/>
  <c r="AD18" i="12"/>
  <c r="AD19" i="12"/>
  <c r="AD20" i="12"/>
  <c r="AD21" i="12"/>
  <c r="AD22" i="12"/>
  <c r="AD23" i="12"/>
  <c r="AD24" i="12"/>
  <c r="AD25" i="12"/>
  <c r="AD26" i="12"/>
  <c r="AD27" i="12"/>
  <c r="AD28" i="12"/>
  <c r="AD29" i="12"/>
  <c r="AD30" i="12"/>
  <c r="AD31" i="12"/>
  <c r="AD32" i="12"/>
  <c r="AD33" i="12"/>
  <c r="AD34" i="12"/>
  <c r="AD35" i="12"/>
  <c r="AD36" i="12"/>
  <c r="AC7" i="12"/>
  <c r="AC8" i="12"/>
  <c r="AC9" i="12"/>
  <c r="AC10" i="12"/>
  <c r="AC11" i="12"/>
  <c r="AC12" i="12"/>
  <c r="AC13" i="12"/>
  <c r="AC14" i="12"/>
  <c r="AC15" i="12"/>
  <c r="AC16" i="12"/>
  <c r="AC17" i="12"/>
  <c r="AC18" i="12"/>
  <c r="AC19" i="12"/>
  <c r="AC20" i="12"/>
  <c r="AC21" i="12"/>
  <c r="AC22" i="12"/>
  <c r="AC23" i="12"/>
  <c r="AC24" i="12"/>
  <c r="AC25" i="12"/>
  <c r="AC26" i="12"/>
  <c r="AC27" i="12"/>
  <c r="AC28" i="12"/>
  <c r="AC29" i="12"/>
  <c r="AC30" i="12"/>
  <c r="AC31" i="12"/>
  <c r="AC32" i="12"/>
  <c r="AC33" i="12"/>
  <c r="AC34" i="12"/>
  <c r="AC35" i="12"/>
  <c r="AC36" i="12"/>
  <c r="AC37" i="12"/>
  <c r="AC38" i="12"/>
  <c r="AC39" i="12"/>
  <c r="AC40" i="12"/>
  <c r="AB5" i="12"/>
  <c r="AC6" i="12"/>
  <c r="AB7" i="12"/>
  <c r="AB8" i="12"/>
  <c r="AB9" i="12"/>
  <c r="AB10" i="12"/>
  <c r="AB11" i="12"/>
  <c r="AB12" i="12"/>
  <c r="AB13" i="12"/>
  <c r="AB14" i="12"/>
  <c r="AB15" i="12"/>
  <c r="AB16" i="12"/>
  <c r="AB17" i="12"/>
  <c r="AB18" i="12"/>
  <c r="AB19" i="12"/>
  <c r="AB20" i="12"/>
  <c r="AB21" i="12"/>
  <c r="AB22" i="12"/>
  <c r="AB23" i="12"/>
  <c r="AB24" i="12"/>
  <c r="AB25" i="12"/>
  <c r="AB26" i="12"/>
  <c r="AB27" i="12"/>
  <c r="AB28" i="12"/>
  <c r="AB29" i="12"/>
  <c r="AB30" i="12"/>
  <c r="AB31" i="12"/>
  <c r="AB32" i="12"/>
  <c r="AB33" i="12"/>
  <c r="AB34" i="12"/>
  <c r="AB35" i="12"/>
  <c r="AB36" i="12"/>
  <c r="AB37" i="12"/>
  <c r="AB38" i="12"/>
  <c r="AB39" i="12"/>
  <c r="AB40" i="12"/>
  <c r="AB6" i="12"/>
  <c r="M3" i="12"/>
  <c r="N8" i="12"/>
  <c r="B121" i="6"/>
  <c r="I121" i="6" s="1"/>
  <c r="B118" i="6"/>
  <c r="B115" i="6"/>
  <c r="I115" i="6" s="1"/>
  <c r="B112" i="6"/>
  <c r="I112" i="6" s="1"/>
  <c r="B109" i="6"/>
  <c r="I109" i="6" s="1"/>
  <c r="B106" i="6"/>
  <c r="I106" i="6" s="1"/>
  <c r="P46" i="6"/>
  <c r="P47" i="6"/>
  <c r="P48" i="6"/>
  <c r="P49" i="6"/>
  <c r="P50" i="6"/>
  <c r="P51" i="6"/>
  <c r="P52" i="6"/>
  <c r="P53" i="6"/>
  <c r="P54" i="6"/>
  <c r="P55" i="6"/>
  <c r="P56" i="6"/>
  <c r="P57" i="6"/>
  <c r="P58" i="6"/>
  <c r="P59" i="6"/>
  <c r="P60" i="6"/>
  <c r="P61" i="6"/>
  <c r="P62" i="6"/>
  <c r="P63" i="6"/>
  <c r="P64" i="6"/>
  <c r="P65" i="6"/>
  <c r="P66" i="6"/>
  <c r="P45" i="6"/>
  <c r="K46" i="6"/>
  <c r="K47" i="6"/>
  <c r="K48" i="6"/>
  <c r="K49" i="6"/>
  <c r="K50" i="6"/>
  <c r="K51" i="6"/>
  <c r="K52" i="6"/>
  <c r="K53" i="6"/>
  <c r="K54" i="6"/>
  <c r="K55" i="6"/>
  <c r="K56" i="6"/>
  <c r="K57" i="6"/>
  <c r="K58" i="6"/>
  <c r="K59" i="6"/>
  <c r="K60" i="6"/>
  <c r="K61" i="6"/>
  <c r="K62" i="6"/>
  <c r="K63" i="6"/>
  <c r="K64" i="6"/>
  <c r="K65" i="6"/>
  <c r="K66" i="6"/>
  <c r="K45" i="6"/>
  <c r="F46" i="6"/>
  <c r="F47" i="6"/>
  <c r="F48" i="6"/>
  <c r="F49" i="6"/>
  <c r="F50" i="6"/>
  <c r="F51" i="6"/>
  <c r="F52" i="6"/>
  <c r="F53" i="6"/>
  <c r="F54" i="6"/>
  <c r="F55" i="6"/>
  <c r="F56" i="6"/>
  <c r="F57" i="6"/>
  <c r="F58" i="6"/>
  <c r="F59" i="6"/>
  <c r="F60" i="6"/>
  <c r="F61" i="6"/>
  <c r="F62" i="6"/>
  <c r="F63" i="6"/>
  <c r="F64" i="6"/>
  <c r="F65" i="6"/>
  <c r="F66" i="6"/>
  <c r="F45" i="6"/>
  <c r="H69" i="6"/>
  <c r="AH34" i="6"/>
  <c r="AG34" i="6"/>
  <c r="AF34" i="6"/>
  <c r="AH44" i="6"/>
  <c r="B124" i="6"/>
  <c r="I124" i="6" s="1"/>
  <c r="B127" i="6"/>
  <c r="I127" i="6" s="1"/>
  <c r="I118" i="6"/>
  <c r="Q8" i="10"/>
  <c r="Q10" i="10"/>
  <c r="G17" i="12"/>
  <c r="I7" i="12"/>
  <c r="I8" i="12"/>
  <c r="I9" i="12"/>
  <c r="I10" i="12"/>
  <c r="I11" i="12"/>
  <c r="I12" i="12"/>
  <c r="I13" i="12"/>
  <c r="H7" i="12"/>
  <c r="N20" i="12" s="1"/>
  <c r="H8" i="12"/>
  <c r="N15" i="12" s="1"/>
  <c r="H9" i="12"/>
  <c r="N14" i="12" s="1"/>
  <c r="H10" i="12"/>
  <c r="N13" i="12" s="1"/>
  <c r="H11" i="12"/>
  <c r="N12" i="12" s="1"/>
  <c r="H12" i="12"/>
  <c r="N11" i="12" s="1"/>
  <c r="H13" i="12"/>
  <c r="N10" i="12" s="1"/>
  <c r="H14" i="12"/>
  <c r="N9" i="12" s="1"/>
  <c r="I14" i="12"/>
  <c r="I17" i="12"/>
  <c r="I18" i="12"/>
  <c r="I16" i="12"/>
  <c r="H16" i="12"/>
  <c r="N7" i="12" s="1"/>
  <c r="H17" i="12"/>
  <c r="H18" i="12"/>
  <c r="G7" i="12"/>
  <c r="G8" i="12"/>
  <c r="G9" i="12"/>
  <c r="G10" i="12"/>
  <c r="G11" i="12"/>
  <c r="G12" i="12"/>
  <c r="G13" i="12"/>
  <c r="G14" i="12"/>
  <c r="G18" i="12"/>
  <c r="G16" i="12"/>
  <c r="O37" i="6"/>
  <c r="O38" i="6"/>
  <c r="O39" i="6"/>
  <c r="O40" i="6"/>
  <c r="O41" i="6"/>
  <c r="O42" i="6"/>
  <c r="O43" i="6"/>
  <c r="O44" i="6"/>
  <c r="O45" i="6"/>
  <c r="O46" i="6"/>
  <c r="O47" i="6"/>
  <c r="O48" i="6"/>
  <c r="O49" i="6"/>
  <c r="O50" i="6"/>
  <c r="O51" i="6"/>
  <c r="O52" i="6"/>
  <c r="O53" i="6"/>
  <c r="O54" i="6"/>
  <c r="O55" i="6"/>
  <c r="O56" i="6"/>
  <c r="O57" i="6"/>
  <c r="O58" i="6"/>
  <c r="O59" i="6"/>
  <c r="O60" i="6"/>
  <c r="O61" i="6"/>
  <c r="O62" i="6"/>
  <c r="O63" i="6"/>
  <c r="O64" i="6"/>
  <c r="O65" i="6"/>
  <c r="O66" i="6"/>
  <c r="O36" i="6"/>
  <c r="J37" i="6"/>
  <c r="J38" i="6"/>
  <c r="J39" i="6"/>
  <c r="J40" i="6"/>
  <c r="J41" i="6"/>
  <c r="J42" i="6"/>
  <c r="J43" i="6"/>
  <c r="J44" i="6"/>
  <c r="J45" i="6"/>
  <c r="J46" i="6"/>
  <c r="J47" i="6"/>
  <c r="J48" i="6"/>
  <c r="J49" i="6"/>
  <c r="J50" i="6"/>
  <c r="J51" i="6"/>
  <c r="J52" i="6"/>
  <c r="J53" i="6"/>
  <c r="J54" i="6"/>
  <c r="J55" i="6"/>
  <c r="J56" i="6"/>
  <c r="J57" i="6"/>
  <c r="J58" i="6"/>
  <c r="J59" i="6"/>
  <c r="J60" i="6"/>
  <c r="J61" i="6"/>
  <c r="J62" i="6"/>
  <c r="J63" i="6"/>
  <c r="J64" i="6"/>
  <c r="J65" i="6"/>
  <c r="J66" i="6"/>
  <c r="J36" i="6"/>
  <c r="E37" i="6"/>
  <c r="E38" i="6"/>
  <c r="E39" i="6"/>
  <c r="E40" i="6"/>
  <c r="E41" i="6"/>
  <c r="E42" i="6"/>
  <c r="E43" i="6"/>
  <c r="E44" i="6"/>
  <c r="E45" i="6"/>
  <c r="E46" i="6"/>
  <c r="E47" i="6"/>
  <c r="E48" i="6"/>
  <c r="E49" i="6"/>
  <c r="E50" i="6"/>
  <c r="E51" i="6"/>
  <c r="E52" i="6"/>
  <c r="E53" i="6"/>
  <c r="E54" i="6"/>
  <c r="E55" i="6"/>
  <c r="E56" i="6"/>
  <c r="E57" i="6"/>
  <c r="E58" i="6"/>
  <c r="E59" i="6"/>
  <c r="E60" i="6"/>
  <c r="E61" i="6"/>
  <c r="E62" i="6"/>
  <c r="E63" i="6"/>
  <c r="E64" i="6"/>
  <c r="E65" i="6"/>
  <c r="E66" i="6"/>
  <c r="E36" i="6"/>
  <c r="D37" i="6"/>
  <c r="I37" i="6" s="1"/>
  <c r="D38" i="6"/>
  <c r="G38" i="6" s="1"/>
  <c r="D39" i="6"/>
  <c r="I39" i="6" s="1"/>
  <c r="D40" i="6"/>
  <c r="D41" i="6"/>
  <c r="I41" i="6" s="1"/>
  <c r="L41" i="6" s="1"/>
  <c r="D42" i="6"/>
  <c r="I42" i="6" s="1"/>
  <c r="D43" i="6"/>
  <c r="I43" i="6" s="1"/>
  <c r="D44" i="6"/>
  <c r="I44" i="6" s="1"/>
  <c r="N44" i="6" s="1"/>
  <c r="Q44" i="6" s="1"/>
  <c r="D45" i="6"/>
  <c r="I45" i="6" s="1"/>
  <c r="N45" i="6" s="1"/>
  <c r="D46" i="6"/>
  <c r="I46" i="6" s="1"/>
  <c r="N46" i="6" s="1"/>
  <c r="D47" i="6"/>
  <c r="I47" i="6" s="1"/>
  <c r="N47" i="6" s="1"/>
  <c r="D48" i="6"/>
  <c r="I48" i="6" s="1"/>
  <c r="N48" i="6" s="1"/>
  <c r="D49" i="6"/>
  <c r="I49" i="6" s="1"/>
  <c r="N49" i="6" s="1"/>
  <c r="D50" i="6"/>
  <c r="I50" i="6" s="1"/>
  <c r="N50" i="6" s="1"/>
  <c r="D51" i="6"/>
  <c r="I51" i="6" s="1"/>
  <c r="N51" i="6" s="1"/>
  <c r="D52" i="6"/>
  <c r="I52" i="6" s="1"/>
  <c r="N52" i="6" s="1"/>
  <c r="D53" i="6"/>
  <c r="I53" i="6" s="1"/>
  <c r="N53" i="6" s="1"/>
  <c r="D54" i="6"/>
  <c r="I54" i="6" s="1"/>
  <c r="N54" i="6" s="1"/>
  <c r="D55" i="6"/>
  <c r="I55" i="6" s="1"/>
  <c r="N55" i="6" s="1"/>
  <c r="D56" i="6"/>
  <c r="D57" i="6"/>
  <c r="I57" i="6" s="1"/>
  <c r="D58" i="6"/>
  <c r="D59" i="6"/>
  <c r="I59" i="6" s="1"/>
  <c r="D60" i="6"/>
  <c r="I60" i="6" s="1"/>
  <c r="N60" i="6" s="1"/>
  <c r="D61" i="6"/>
  <c r="I61" i="6" s="1"/>
  <c r="D62" i="6"/>
  <c r="I62" i="6" s="1"/>
  <c r="D63" i="6"/>
  <c r="I63" i="6" s="1"/>
  <c r="D64" i="6"/>
  <c r="D65" i="6"/>
  <c r="I65" i="6" s="1"/>
  <c r="D66" i="6"/>
  <c r="D36" i="6"/>
  <c r="I36" i="6" s="1"/>
  <c r="C33" i="8"/>
  <c r="C4" i="8"/>
  <c r="C5" i="8"/>
  <c r="C6" i="8"/>
  <c r="C7" i="8"/>
  <c r="C8" i="8"/>
  <c r="C9" i="8"/>
  <c r="C10" i="8"/>
  <c r="C11" i="8"/>
  <c r="C12" i="8"/>
  <c r="C13" i="8"/>
  <c r="C14" i="8"/>
  <c r="C15" i="8"/>
  <c r="C16" i="8"/>
  <c r="C17" i="8"/>
  <c r="C18" i="8"/>
  <c r="C19" i="8"/>
  <c r="C20" i="8"/>
  <c r="C21" i="8"/>
  <c r="C22" i="8"/>
  <c r="C23" i="8"/>
  <c r="C24" i="8"/>
  <c r="C25" i="8"/>
  <c r="C26" i="8"/>
  <c r="C27" i="8"/>
  <c r="C28" i="8"/>
  <c r="C29" i="8"/>
  <c r="C30" i="8"/>
  <c r="C31" i="8"/>
  <c r="C32" i="8"/>
  <c r="C3" i="8"/>
  <c r="R34" i="8"/>
  <c r="M34" i="8"/>
  <c r="H34" i="8"/>
  <c r="V26" i="12" l="1"/>
  <c r="V25" i="12"/>
  <c r="Z20" i="12"/>
  <c r="Z12" i="12"/>
  <c r="V16" i="12"/>
  <c r="S27" i="12"/>
  <c r="T7" i="12" s="1"/>
  <c r="V8" i="12"/>
  <c r="T8" i="12"/>
  <c r="Z11" i="12"/>
  <c r="V23" i="12"/>
  <c r="V15" i="12"/>
  <c r="Z7" i="12"/>
  <c r="Y7" i="12"/>
  <c r="Y8" i="12" s="1"/>
  <c r="Y9" i="12" s="1"/>
  <c r="Y10" i="12" s="1"/>
  <c r="Y11" i="12" s="1"/>
  <c r="Y12" i="12" s="1"/>
  <c r="Y13" i="12" s="1"/>
  <c r="Y14" i="12" s="1"/>
  <c r="Y15" i="12" s="1"/>
  <c r="Y16" i="12" s="1"/>
  <c r="Y17" i="12" s="1"/>
  <c r="Y18" i="12" s="1"/>
  <c r="Y19" i="12" s="1"/>
  <c r="Y20" i="12" s="1"/>
  <c r="Y21" i="12" s="1"/>
  <c r="Y22" i="12" s="1"/>
  <c r="Y23" i="12" s="1"/>
  <c r="Y24" i="12" s="1"/>
  <c r="Y25" i="12" s="1"/>
  <c r="Y26" i="12" s="1"/>
  <c r="V11" i="12"/>
  <c r="V10" i="12"/>
  <c r="Z13" i="12"/>
  <c r="V9" i="12"/>
  <c r="Z10" i="12"/>
  <c r="V22" i="12"/>
  <c r="Z25" i="12"/>
  <c r="Z17" i="12"/>
  <c r="Z9" i="12"/>
  <c r="V21" i="12"/>
  <c r="V13" i="12"/>
  <c r="Z23" i="12"/>
  <c r="Z22" i="12"/>
  <c r="V18" i="12"/>
  <c r="V20" i="12"/>
  <c r="Z21" i="12"/>
  <c r="V17" i="12"/>
  <c r="V12" i="12"/>
  <c r="Z26" i="12"/>
  <c r="X26" i="12"/>
  <c r="Z18" i="12"/>
  <c r="V14" i="12"/>
  <c r="Z24" i="12"/>
  <c r="Z16" i="12"/>
  <c r="W27" i="12"/>
  <c r="X20" i="12" s="1"/>
  <c r="Z8" i="12"/>
  <c r="U11" i="12"/>
  <c r="U12" i="12" s="1"/>
  <c r="U13" i="12" s="1"/>
  <c r="U14" i="12" s="1"/>
  <c r="U15" i="12" s="1"/>
  <c r="U16" i="12" s="1"/>
  <c r="U17" i="12" s="1"/>
  <c r="U18" i="12" s="1"/>
  <c r="U19" i="12" s="1"/>
  <c r="U20" i="12" s="1"/>
  <c r="U21" i="12" s="1"/>
  <c r="U22" i="12" s="1"/>
  <c r="U23" i="12" s="1"/>
  <c r="U24" i="12" s="1"/>
  <c r="U25" i="12" s="1"/>
  <c r="U26" i="12" s="1"/>
  <c r="Z15" i="12"/>
  <c r="V19" i="12"/>
  <c r="V7" i="12"/>
  <c r="T25" i="12"/>
  <c r="T17" i="12"/>
  <c r="T9" i="12"/>
  <c r="T14" i="12"/>
  <c r="T21" i="12"/>
  <c r="T13" i="12"/>
  <c r="Q7" i="12"/>
  <c r="R7" i="12" s="1"/>
  <c r="O27" i="12"/>
  <c r="P23" i="12" s="1"/>
  <c r="N19" i="12"/>
  <c r="N17" i="12"/>
  <c r="N16" i="12"/>
  <c r="N22" i="12"/>
  <c r="N18" i="12"/>
  <c r="N21" i="12"/>
  <c r="M41" i="6"/>
  <c r="R44" i="6"/>
  <c r="I38" i="6"/>
  <c r="N38" i="6" s="1"/>
  <c r="Q38" i="6" s="1"/>
  <c r="R38" i="6" s="1"/>
  <c r="O67" i="6"/>
  <c r="E69" i="6"/>
  <c r="E70" i="6" s="1"/>
  <c r="E67" i="6"/>
  <c r="J67" i="6"/>
  <c r="O68" i="6"/>
  <c r="J68" i="6"/>
  <c r="H38" i="6"/>
  <c r="E68" i="6"/>
  <c r="N63" i="6"/>
  <c r="L39" i="6"/>
  <c r="M39" i="6" s="1"/>
  <c r="N39" i="6"/>
  <c r="Q39" i="6" s="1"/>
  <c r="R39" i="6" s="1"/>
  <c r="N61" i="6"/>
  <c r="L37" i="6"/>
  <c r="M37" i="6" s="1"/>
  <c r="N37" i="6"/>
  <c r="Q37" i="6" s="1"/>
  <c r="R37" i="6" s="1"/>
  <c r="L36" i="6"/>
  <c r="M36" i="6" s="1"/>
  <c r="N36" i="6"/>
  <c r="N59" i="6"/>
  <c r="L43" i="6"/>
  <c r="M43" i="6" s="1"/>
  <c r="N43" i="6"/>
  <c r="Q43" i="6" s="1"/>
  <c r="R43" i="6" s="1"/>
  <c r="N42" i="6"/>
  <c r="Q42" i="6" s="1"/>
  <c r="R42" i="6" s="1"/>
  <c r="L42" i="6"/>
  <c r="M42" i="6" s="1"/>
  <c r="I66" i="6"/>
  <c r="I58" i="6"/>
  <c r="N65" i="6"/>
  <c r="N57" i="6"/>
  <c r="N41" i="6"/>
  <c r="Q41" i="6" s="1"/>
  <c r="R41" i="6" s="1"/>
  <c r="L44" i="6"/>
  <c r="M44" i="6" s="1"/>
  <c r="I64" i="6"/>
  <c r="I56" i="6"/>
  <c r="I40" i="6"/>
  <c r="G39" i="6"/>
  <c r="H39" i="6" s="1"/>
  <c r="N62" i="6"/>
  <c r="G37" i="6"/>
  <c r="H37" i="6" s="1"/>
  <c r="G36" i="6"/>
  <c r="H36" i="6" s="1"/>
  <c r="C34" i="8"/>
  <c r="X7" i="12" l="1"/>
  <c r="X17" i="12"/>
  <c r="T15" i="12"/>
  <c r="T18" i="12"/>
  <c r="X24" i="12"/>
  <c r="X21" i="12"/>
  <c r="X23" i="12"/>
  <c r="X25" i="12"/>
  <c r="Z14" i="12"/>
  <c r="X11" i="12"/>
  <c r="V24" i="12"/>
  <c r="X13" i="12"/>
  <c r="T22" i="12"/>
  <c r="X15" i="12"/>
  <c r="T19" i="12"/>
  <c r="T23" i="12"/>
  <c r="T10" i="12"/>
  <c r="X14" i="12"/>
  <c r="X12" i="12"/>
  <c r="X22" i="12"/>
  <c r="X16" i="12"/>
  <c r="T26" i="12"/>
  <c r="T12" i="12"/>
  <c r="T16" i="12"/>
  <c r="T11" i="12"/>
  <c r="X8" i="12"/>
  <c r="X18" i="12"/>
  <c r="X10" i="12"/>
  <c r="X19" i="12"/>
  <c r="T20" i="12"/>
  <c r="T24" i="12"/>
  <c r="X9" i="12"/>
  <c r="Z19" i="12"/>
  <c r="P24" i="12"/>
  <c r="P21" i="12"/>
  <c r="P25" i="12"/>
  <c r="P26" i="12"/>
  <c r="P10" i="12"/>
  <c r="P19" i="12"/>
  <c r="P8" i="12"/>
  <c r="P14" i="12"/>
  <c r="P17" i="12"/>
  <c r="P16" i="12"/>
  <c r="P22" i="12"/>
  <c r="Q8" i="12"/>
  <c r="R8" i="12" s="1"/>
  <c r="P9" i="12"/>
  <c r="P12" i="12"/>
  <c r="N23" i="12"/>
  <c r="P20" i="12"/>
  <c r="P7" i="12"/>
  <c r="P15" i="12"/>
  <c r="P18" i="12"/>
  <c r="P11" i="12"/>
  <c r="P13" i="12"/>
  <c r="L38" i="6"/>
  <c r="M38" i="6" s="1"/>
  <c r="J69" i="6"/>
  <c r="J70" i="6" s="1"/>
  <c r="L40" i="6"/>
  <c r="M40" i="6" s="1"/>
  <c r="N40" i="6"/>
  <c r="N58" i="6"/>
  <c r="N56" i="6"/>
  <c r="N66" i="6"/>
  <c r="N64" i="6"/>
  <c r="Q36" i="6"/>
  <c r="R36" i="6" s="1"/>
  <c r="G41" i="6"/>
  <c r="H41" i="6" s="1"/>
  <c r="G42" i="6"/>
  <c r="H42" i="6" s="1"/>
  <c r="G43" i="6"/>
  <c r="H43" i="6" s="1"/>
  <c r="G44" i="6"/>
  <c r="H44" i="6" s="1"/>
  <c r="G40" i="6"/>
  <c r="H40" i="6" s="1"/>
  <c r="Q9" i="12" l="1"/>
  <c r="N24" i="12"/>
  <c r="Q40" i="6"/>
  <c r="R40" i="6" s="1"/>
  <c r="O69" i="6"/>
  <c r="O70" i="6" s="1"/>
  <c r="C13" i="6"/>
  <c r="Q64" i="6" s="1"/>
  <c r="R64" i="6" s="1"/>
  <c r="D47" i="10"/>
  <c r="E47" i="10"/>
  <c r="F47" i="10"/>
  <c r="N13" i="10"/>
  <c r="B46" i="10"/>
  <c r="B43" i="10"/>
  <c r="C29" i="10"/>
  <c r="U12" i="10" s="1"/>
  <c r="W13" i="10"/>
  <c r="V13" i="10"/>
  <c r="U13" i="10"/>
  <c r="W18" i="10"/>
  <c r="V18" i="10"/>
  <c r="U18" i="10"/>
  <c r="S18" i="10"/>
  <c r="R18" i="10"/>
  <c r="Q18" i="10"/>
  <c r="W14" i="10"/>
  <c r="V14" i="10"/>
  <c r="U14" i="10"/>
  <c r="S14" i="10"/>
  <c r="R14" i="10"/>
  <c r="Q14" i="10"/>
  <c r="S13" i="10"/>
  <c r="R13" i="10"/>
  <c r="Q13" i="10"/>
  <c r="W8" i="10"/>
  <c r="V8" i="10"/>
  <c r="U8" i="10"/>
  <c r="S8" i="10"/>
  <c r="R8" i="10"/>
  <c r="W7" i="10"/>
  <c r="V7" i="10"/>
  <c r="U7" i="10"/>
  <c r="W6" i="10"/>
  <c r="V6" i="10"/>
  <c r="U6" i="10"/>
  <c r="S6" i="10"/>
  <c r="R6" i="10"/>
  <c r="Q6" i="10"/>
  <c r="C37" i="10"/>
  <c r="E37" i="10" s="1"/>
  <c r="Q10" i="12" l="1"/>
  <c r="R10" i="12" s="1"/>
  <c r="R9" i="12"/>
  <c r="N25" i="12"/>
  <c r="G63" i="6"/>
  <c r="H63" i="6" s="1"/>
  <c r="G60" i="6"/>
  <c r="H60" i="6" s="1"/>
  <c r="L57" i="6"/>
  <c r="M57" i="6" s="1"/>
  <c r="G56" i="6"/>
  <c r="H56" i="6" s="1"/>
  <c r="L61" i="6"/>
  <c r="M61" i="6" s="1"/>
  <c r="L60" i="6"/>
  <c r="M60" i="6" s="1"/>
  <c r="G62" i="6"/>
  <c r="H62" i="6" s="1"/>
  <c r="G57" i="6"/>
  <c r="H57" i="6" s="1"/>
  <c r="G58" i="6"/>
  <c r="H58" i="6" s="1"/>
  <c r="G61" i="6"/>
  <c r="H61" i="6" s="1"/>
  <c r="L65" i="6"/>
  <c r="M65" i="6" s="1"/>
  <c r="Q60" i="6"/>
  <c r="R60" i="6" s="1"/>
  <c r="G66" i="6"/>
  <c r="H66" i="6" s="1"/>
  <c r="G59" i="6"/>
  <c r="H59" i="6" s="1"/>
  <c r="L63" i="6"/>
  <c r="M63" i="6" s="1"/>
  <c r="G65" i="6"/>
  <c r="H65" i="6" s="1"/>
  <c r="L59" i="6"/>
  <c r="M59" i="6" s="1"/>
  <c r="G64" i="6"/>
  <c r="H64" i="6" s="1"/>
  <c r="L62" i="6"/>
  <c r="M62" i="6" s="1"/>
  <c r="G45" i="6"/>
  <c r="H45" i="6" s="1"/>
  <c r="Q59" i="6"/>
  <c r="R59" i="6" s="1"/>
  <c r="Q56" i="6"/>
  <c r="R56" i="6" s="1"/>
  <c r="L66" i="6"/>
  <c r="M66" i="6" s="1"/>
  <c r="Q63" i="6"/>
  <c r="R63" i="6" s="1"/>
  <c r="Q55" i="6"/>
  <c r="R55" i="6" s="1"/>
  <c r="Q65" i="6"/>
  <c r="R65" i="6" s="1"/>
  <c r="Q61" i="6"/>
  <c r="R61" i="6" s="1"/>
  <c r="L58" i="6"/>
  <c r="M58" i="6" s="1"/>
  <c r="Q57" i="6"/>
  <c r="R57" i="6" s="1"/>
  <c r="Q62" i="6"/>
  <c r="R62" i="6" s="1"/>
  <c r="L64" i="6"/>
  <c r="M64" i="6" s="1"/>
  <c r="L56" i="6"/>
  <c r="M56" i="6" s="1"/>
  <c r="Q66" i="6"/>
  <c r="R66" i="6" s="1"/>
  <c r="Q58" i="6"/>
  <c r="R58" i="6" s="1"/>
  <c r="Q54" i="6"/>
  <c r="R54" i="6" s="1"/>
  <c r="Q49" i="6"/>
  <c r="R49" i="6" s="1"/>
  <c r="Q48" i="6"/>
  <c r="R48" i="6" s="1"/>
  <c r="Q52" i="6"/>
  <c r="R52" i="6" s="1"/>
  <c r="Q46" i="6"/>
  <c r="R46" i="6" s="1"/>
  <c r="Q51" i="6"/>
  <c r="R51" i="6" s="1"/>
  <c r="Q50" i="6"/>
  <c r="R50" i="6" s="1"/>
  <c r="Q45" i="6"/>
  <c r="R45" i="6" s="1"/>
  <c r="Q47" i="6"/>
  <c r="R47" i="6" s="1"/>
  <c r="Q53" i="6"/>
  <c r="R53" i="6" s="1"/>
  <c r="L50" i="6"/>
  <c r="M50" i="6" s="1"/>
  <c r="L49" i="6"/>
  <c r="M49" i="6" s="1"/>
  <c r="L55" i="6"/>
  <c r="M55" i="6" s="1"/>
  <c r="L48" i="6"/>
  <c r="M48" i="6" s="1"/>
  <c r="L54" i="6"/>
  <c r="M54" i="6" s="1"/>
  <c r="L53" i="6"/>
  <c r="M53" i="6" s="1"/>
  <c r="L47" i="6"/>
  <c r="M47" i="6" s="1"/>
  <c r="L45" i="6"/>
  <c r="M45" i="6" s="1"/>
  <c r="L51" i="6"/>
  <c r="M51" i="6" s="1"/>
  <c r="L52" i="6"/>
  <c r="M52" i="6" s="1"/>
  <c r="L46" i="6"/>
  <c r="M46" i="6" s="1"/>
  <c r="G46" i="6"/>
  <c r="H46" i="6" s="1"/>
  <c r="G49" i="6"/>
  <c r="H49" i="6" s="1"/>
  <c r="G50" i="6"/>
  <c r="H50" i="6" s="1"/>
  <c r="G51" i="6"/>
  <c r="H51" i="6" s="1"/>
  <c r="G53" i="6"/>
  <c r="H53" i="6" s="1"/>
  <c r="G54" i="6"/>
  <c r="H54" i="6" s="1"/>
  <c r="G47" i="6"/>
  <c r="H47" i="6" s="1"/>
  <c r="G48" i="6"/>
  <c r="H48" i="6" s="1"/>
  <c r="G52" i="6"/>
  <c r="H52" i="6" s="1"/>
  <c r="G55" i="6"/>
  <c r="H55" i="6" s="1"/>
  <c r="U17" i="10"/>
  <c r="V24" i="10"/>
  <c r="V26" i="10" s="1"/>
  <c r="Q24" i="10"/>
  <c r="Q26" i="10" s="1"/>
  <c r="U24" i="10"/>
  <c r="U26" i="10" s="1"/>
  <c r="W22" i="10"/>
  <c r="S22" i="10"/>
  <c r="S24" i="10"/>
  <c r="S26" i="10" s="1"/>
  <c r="V22" i="10"/>
  <c r="W24" i="10"/>
  <c r="W26" i="10" s="1"/>
  <c r="Q22" i="10"/>
  <c r="R22" i="10"/>
  <c r="U22" i="10"/>
  <c r="R24" i="10"/>
  <c r="R26" i="10" s="1"/>
  <c r="W10" i="10"/>
  <c r="R10" i="10"/>
  <c r="U10" i="10"/>
  <c r="V10" i="10"/>
  <c r="S10" i="10"/>
  <c r="C30" i="10"/>
  <c r="V12" i="10" s="1"/>
  <c r="V17" i="10" s="1"/>
  <c r="C31" i="10"/>
  <c r="W12" i="10" s="1"/>
  <c r="W17" i="10" s="1"/>
  <c r="BL43" i="6"/>
  <c r="BK43" i="6"/>
  <c r="BJ43" i="6"/>
  <c r="BL51" i="6"/>
  <c r="BK51" i="6"/>
  <c r="BJ51" i="6"/>
  <c r="BL50" i="6"/>
  <c r="BK50" i="6"/>
  <c r="BJ50" i="6"/>
  <c r="BI41" i="6"/>
  <c r="BI40" i="6"/>
  <c r="BL34" i="6"/>
  <c r="BK34" i="6"/>
  <c r="BJ34" i="6"/>
  <c r="BL32" i="6"/>
  <c r="BK32" i="6"/>
  <c r="BJ32" i="6"/>
  <c r="K4" i="6"/>
  <c r="N4" i="6"/>
  <c r="C96" i="6"/>
  <c r="AR50" i="6" s="1"/>
  <c r="BG50" i="6"/>
  <c r="BF50" i="6"/>
  <c r="BE50" i="6"/>
  <c r="BG45" i="6"/>
  <c r="BF45" i="6"/>
  <c r="BE45" i="6"/>
  <c r="BG51" i="6"/>
  <c r="BF51" i="6"/>
  <c r="BE51" i="6"/>
  <c r="BG44" i="6"/>
  <c r="BG43" i="6"/>
  <c r="BF43" i="6"/>
  <c r="BE43" i="6"/>
  <c r="BD41" i="6"/>
  <c r="BD40" i="6"/>
  <c r="BG34" i="6"/>
  <c r="BF34" i="6"/>
  <c r="BE34" i="6"/>
  <c r="BG32" i="6"/>
  <c r="BF32" i="6"/>
  <c r="BE32" i="6"/>
  <c r="BG29" i="6"/>
  <c r="BF29" i="6"/>
  <c r="BE29" i="6"/>
  <c r="BB43" i="6"/>
  <c r="BA43" i="6"/>
  <c r="AZ43" i="6"/>
  <c r="AW43" i="6"/>
  <c r="AV43" i="6"/>
  <c r="AU43" i="6"/>
  <c r="AR43" i="6"/>
  <c r="AQ43" i="6"/>
  <c r="AP43" i="6"/>
  <c r="AM43" i="6"/>
  <c r="AL43" i="6"/>
  <c r="AK43" i="6"/>
  <c r="AH43" i="6"/>
  <c r="AG43" i="6"/>
  <c r="AF43" i="6"/>
  <c r="AC43" i="6"/>
  <c r="AB43" i="6"/>
  <c r="AA43" i="6"/>
  <c r="X43" i="6"/>
  <c r="W43" i="6"/>
  <c r="V43" i="6"/>
  <c r="BB32" i="6"/>
  <c r="AW32" i="6"/>
  <c r="AV32" i="6"/>
  <c r="AR32" i="6"/>
  <c r="AM32" i="6"/>
  <c r="AH32" i="6"/>
  <c r="AC32" i="6"/>
  <c r="X32" i="6"/>
  <c r="BA32" i="6"/>
  <c r="AQ32" i="6"/>
  <c r="AL32" i="6"/>
  <c r="AG32" i="6"/>
  <c r="AB32" i="6"/>
  <c r="W32" i="6"/>
  <c r="BB34" i="6"/>
  <c r="BA34" i="6"/>
  <c r="AZ34" i="6"/>
  <c r="AW34" i="6"/>
  <c r="AV34" i="6"/>
  <c r="AU34" i="6"/>
  <c r="AR34" i="6"/>
  <c r="AQ34" i="6"/>
  <c r="AP34" i="6"/>
  <c r="AM34" i="6"/>
  <c r="AL34" i="6"/>
  <c r="AK34" i="6"/>
  <c r="AC34" i="6"/>
  <c r="AB34" i="6"/>
  <c r="AA34" i="6"/>
  <c r="AZ32" i="6"/>
  <c r="AU32" i="6"/>
  <c r="AP32" i="6"/>
  <c r="AK32" i="6"/>
  <c r="AF32" i="6"/>
  <c r="AA32" i="6"/>
  <c r="V32" i="6"/>
  <c r="X34" i="6"/>
  <c r="W34" i="6"/>
  <c r="V34" i="6"/>
  <c r="BB45" i="6"/>
  <c r="BA45" i="6"/>
  <c r="AZ45" i="6"/>
  <c r="BB51" i="6"/>
  <c r="BB53" i="6" s="1"/>
  <c r="BA51" i="6"/>
  <c r="BA53" i="6" s="1"/>
  <c r="AZ51" i="6"/>
  <c r="AZ53" i="6" s="1"/>
  <c r="BB44" i="6"/>
  <c r="AY41" i="6"/>
  <c r="AY40" i="6"/>
  <c r="BB29" i="6"/>
  <c r="BA29" i="6"/>
  <c r="AZ29" i="6"/>
  <c r="E101" i="6"/>
  <c r="AW45" i="6"/>
  <c r="AV45" i="6"/>
  <c r="AU45" i="6"/>
  <c r="AM45" i="6"/>
  <c r="AL45" i="6"/>
  <c r="AK45" i="6"/>
  <c r="AC45" i="6"/>
  <c r="AB45" i="6"/>
  <c r="AA45" i="6"/>
  <c r="AR45" i="6"/>
  <c r="AQ45" i="6"/>
  <c r="AP45" i="6"/>
  <c r="AH45" i="6"/>
  <c r="AG45" i="6"/>
  <c r="AF45" i="6"/>
  <c r="X45" i="6"/>
  <c r="W45" i="6"/>
  <c r="V45" i="6"/>
  <c r="AW51" i="6"/>
  <c r="AW53" i="6" s="1"/>
  <c r="AV51" i="6"/>
  <c r="AV53" i="6" s="1"/>
  <c r="AU51" i="6"/>
  <c r="AU53" i="6" s="1"/>
  <c r="AW44" i="6"/>
  <c r="AT41" i="6"/>
  <c r="AT40" i="6"/>
  <c r="AW29" i="6"/>
  <c r="AV29" i="6"/>
  <c r="AU29" i="6"/>
  <c r="AR51" i="6"/>
  <c r="AQ51" i="6"/>
  <c r="AP51" i="6"/>
  <c r="AO41" i="6"/>
  <c r="AO40" i="6"/>
  <c r="AR29" i="6"/>
  <c r="AQ29" i="6"/>
  <c r="AP29" i="6"/>
  <c r="AJ41" i="6"/>
  <c r="AJ40" i="6"/>
  <c r="AE41" i="6"/>
  <c r="AE40" i="6"/>
  <c r="Z41" i="6"/>
  <c r="Z40" i="6"/>
  <c r="U41" i="6"/>
  <c r="U40" i="6"/>
  <c r="AM51" i="6"/>
  <c r="AM53" i="6" s="1"/>
  <c r="AL51" i="6"/>
  <c r="AL53" i="6" s="1"/>
  <c r="AK51" i="6"/>
  <c r="AK53" i="6" s="1"/>
  <c r="AM44" i="6"/>
  <c r="AM29" i="6"/>
  <c r="AL29" i="6"/>
  <c r="AK29" i="6"/>
  <c r="C92" i="6"/>
  <c r="AM50" i="6" s="1"/>
  <c r="C94" i="6"/>
  <c r="BB50" i="6" s="1"/>
  <c r="C89" i="6"/>
  <c r="E99" i="6"/>
  <c r="E100" i="6"/>
  <c r="C98" i="6"/>
  <c r="C97" i="6"/>
  <c r="K6" i="6"/>
  <c r="AC51" i="6"/>
  <c r="AC53" i="6" s="1"/>
  <c r="AB51" i="6"/>
  <c r="AB53" i="6" s="1"/>
  <c r="AA51" i="6"/>
  <c r="AA53" i="6" s="1"/>
  <c r="AC44" i="6"/>
  <c r="AC29" i="6"/>
  <c r="AB29" i="6"/>
  <c r="AA29" i="6"/>
  <c r="AH51" i="6"/>
  <c r="AG51" i="6"/>
  <c r="AF51" i="6"/>
  <c r="X51" i="6"/>
  <c r="W51" i="6"/>
  <c r="V51" i="6"/>
  <c r="X44" i="6"/>
  <c r="Q11" i="12" l="1"/>
  <c r="R11" i="12" s="1"/>
  <c r="N26" i="12"/>
  <c r="R69" i="6"/>
  <c r="M69" i="6"/>
  <c r="M67" i="6"/>
  <c r="H67" i="6"/>
  <c r="R67" i="6"/>
  <c r="AZ56" i="6"/>
  <c r="BJ46" i="6"/>
  <c r="Q25" i="10"/>
  <c r="V25" i="10"/>
  <c r="U25" i="10"/>
  <c r="BL37" i="6"/>
  <c r="Q12" i="10"/>
  <c r="U28" i="10"/>
  <c r="S12" i="10"/>
  <c r="R12" i="10"/>
  <c r="BK46" i="6"/>
  <c r="BL46" i="6"/>
  <c r="W25" i="10"/>
  <c r="S25" i="10"/>
  <c r="R25" i="10"/>
  <c r="BJ37" i="6"/>
  <c r="BK37" i="6"/>
  <c r="AK37" i="6"/>
  <c r="AP37" i="6"/>
  <c r="AA37" i="6"/>
  <c r="AZ37" i="6"/>
  <c r="BE46" i="6"/>
  <c r="AW50" i="6"/>
  <c r="AZ50" i="6"/>
  <c r="AP50" i="6"/>
  <c r="BA50" i="6"/>
  <c r="AU50" i="6"/>
  <c r="AQ50" i="6"/>
  <c r="AV50" i="6"/>
  <c r="AK47" i="6"/>
  <c r="BF37" i="6"/>
  <c r="BA56" i="6"/>
  <c r="BE56" i="6"/>
  <c r="AH50" i="6"/>
  <c r="AK56" i="6"/>
  <c r="AP47" i="6"/>
  <c r="AZ48" i="6"/>
  <c r="BB56" i="6"/>
  <c r="BF56" i="6"/>
  <c r="BG46" i="6"/>
  <c r="AK50" i="6"/>
  <c r="AL48" i="6"/>
  <c r="AL55" i="6" s="1"/>
  <c r="AV56" i="6"/>
  <c r="AL56" i="6"/>
  <c r="AQ48" i="6"/>
  <c r="AU47" i="6"/>
  <c r="BG56" i="6"/>
  <c r="AF50" i="6"/>
  <c r="AL50" i="6"/>
  <c r="AU56" i="6"/>
  <c r="AW56" i="6"/>
  <c r="AM56" i="6"/>
  <c r="AV47" i="6"/>
  <c r="AG50" i="6"/>
  <c r="BG37" i="6"/>
  <c r="BE37" i="6"/>
  <c r="BF46" i="6"/>
  <c r="BG47" i="6"/>
  <c r="AU37" i="6"/>
  <c r="AB46" i="6"/>
  <c r="AL46" i="6"/>
  <c r="AZ46" i="6"/>
  <c r="BB48" i="6"/>
  <c r="BB55" i="6" s="1"/>
  <c r="AK48" i="6"/>
  <c r="AU46" i="6"/>
  <c r="AK46" i="6"/>
  <c r="AH46" i="6"/>
  <c r="AA47" i="6"/>
  <c r="AC47" i="6"/>
  <c r="AA46" i="6"/>
  <c r="X29" i="6"/>
  <c r="W29" i="6"/>
  <c r="AH29" i="6"/>
  <c r="AG29" i="6"/>
  <c r="AF29" i="6"/>
  <c r="V29" i="6"/>
  <c r="AG46" i="6"/>
  <c r="AF46" i="6"/>
  <c r="AF37" i="6"/>
  <c r="R17" i="10" l="1"/>
  <c r="E44" i="10"/>
  <c r="Q17" i="10"/>
  <c r="D44" i="10"/>
  <c r="AQ56" i="6"/>
  <c r="AQ49" i="6"/>
  <c r="Q12" i="12"/>
  <c r="R70" i="6"/>
  <c r="C19" i="6" s="1"/>
  <c r="M70" i="6"/>
  <c r="C18" i="6" s="1"/>
  <c r="AQ53" i="6"/>
  <c r="H70" i="6"/>
  <c r="C17" i="6" s="1"/>
  <c r="S17" i="10"/>
  <c r="S20" i="10" s="1"/>
  <c r="S31" i="10" s="1"/>
  <c r="F45" i="10" s="1"/>
  <c r="F44" i="10"/>
  <c r="Q16" i="10"/>
  <c r="Q23" i="10" s="1"/>
  <c r="U29" i="10"/>
  <c r="D46" i="10"/>
  <c r="AV48" i="6"/>
  <c r="AV55" i="6" s="1"/>
  <c r="AV57" i="6" s="1"/>
  <c r="S16" i="10"/>
  <c r="V16" i="10"/>
  <c r="V23" i="10" s="1"/>
  <c r="V19" i="10"/>
  <c r="V30" i="10" s="1"/>
  <c r="R16" i="10"/>
  <c r="R23" i="10" s="1"/>
  <c r="V28" i="10"/>
  <c r="E46" i="10" s="1"/>
  <c r="W16" i="10"/>
  <c r="W23" i="10" s="1"/>
  <c r="U16" i="10"/>
  <c r="U23" i="10" s="1"/>
  <c r="AZ47" i="6"/>
  <c r="AL47" i="6"/>
  <c r="AU48" i="6"/>
  <c r="AU52" i="6" s="1"/>
  <c r="AU54" i="6" s="1"/>
  <c r="AL57" i="6"/>
  <c r="AQ47" i="6"/>
  <c r="AK52" i="6"/>
  <c r="AK54" i="6" s="1"/>
  <c r="BG48" i="6"/>
  <c r="BF47" i="6"/>
  <c r="AZ55" i="6"/>
  <c r="AZ57" i="6" s="1"/>
  <c r="BE47" i="6"/>
  <c r="AB48" i="6"/>
  <c r="AR47" i="6"/>
  <c r="BB46" i="6"/>
  <c r="BB47" i="6"/>
  <c r="AQ55" i="6"/>
  <c r="AQ57" i="6" s="1"/>
  <c r="AM47" i="6"/>
  <c r="BA47" i="6"/>
  <c r="BA46" i="6"/>
  <c r="BA48" i="6"/>
  <c r="BA55" i="6" s="1"/>
  <c r="AW47" i="6"/>
  <c r="AZ52" i="6"/>
  <c r="BB52" i="6"/>
  <c r="BB54" i="6" s="1"/>
  <c r="BB57" i="6"/>
  <c r="BA37" i="6"/>
  <c r="AP48" i="6"/>
  <c r="AP49" i="6" s="1"/>
  <c r="AP46" i="6"/>
  <c r="AL52" i="6"/>
  <c r="AL54" i="6" s="1"/>
  <c r="AQ52" i="6"/>
  <c r="AQ46" i="6"/>
  <c r="AV46" i="6"/>
  <c r="AK55" i="6"/>
  <c r="AK57" i="6" s="1"/>
  <c r="AV37" i="6"/>
  <c r="AQ37" i="6"/>
  <c r="AL37" i="6"/>
  <c r="AH48" i="6"/>
  <c r="AC48" i="6"/>
  <c r="AB47" i="6"/>
  <c r="AA48" i="6"/>
  <c r="AH47" i="6"/>
  <c r="AF48" i="6"/>
  <c r="AF49" i="6" s="1"/>
  <c r="AF47" i="6"/>
  <c r="F31" i="6"/>
  <c r="F30" i="6"/>
  <c r="H31" i="6"/>
  <c r="F32" i="6" s="1"/>
  <c r="H30" i="6"/>
  <c r="E98" i="6"/>
  <c r="Q13" i="12" l="1"/>
  <c r="R12" i="12"/>
  <c r="AQ54" i="6"/>
  <c r="AP53" i="6"/>
  <c r="AP56" i="6"/>
  <c r="AH55" i="6"/>
  <c r="AH53" i="6"/>
  <c r="AF55" i="6"/>
  <c r="AF53" i="6"/>
  <c r="AV52" i="6"/>
  <c r="AV54" i="6" s="1"/>
  <c r="Q19" i="10"/>
  <c r="Q30" i="10" s="1"/>
  <c r="Q28" i="10"/>
  <c r="S19" i="10"/>
  <c r="S30" i="10" s="1"/>
  <c r="S28" i="10"/>
  <c r="S23" i="10"/>
  <c r="V20" i="10"/>
  <c r="V31" i="10" s="1"/>
  <c r="E48" i="10" s="1"/>
  <c r="Q20" i="10"/>
  <c r="Q31" i="10" s="1"/>
  <c r="D45" i="10" s="1"/>
  <c r="V29" i="10"/>
  <c r="U20" i="10"/>
  <c r="U31" i="10" s="1"/>
  <c r="D48" i="10" s="1"/>
  <c r="U19" i="10"/>
  <c r="W20" i="10"/>
  <c r="W31" i="10" s="1"/>
  <c r="F48" i="10" s="1"/>
  <c r="W19" i="10"/>
  <c r="W28" i="10"/>
  <c r="R20" i="10"/>
  <c r="R31" i="10" s="1"/>
  <c r="E45" i="10" s="1"/>
  <c r="R19" i="10"/>
  <c r="R28" i="10"/>
  <c r="BL44" i="6"/>
  <c r="BL33" i="6"/>
  <c r="BJ33" i="6"/>
  <c r="BJ44" i="6"/>
  <c r="BK44" i="6"/>
  <c r="BK33" i="6"/>
  <c r="BG55" i="6"/>
  <c r="BG57" i="6" s="1"/>
  <c r="BG52" i="6"/>
  <c r="BG54" i="6" s="1"/>
  <c r="AU55" i="6"/>
  <c r="AU57" i="6" s="1"/>
  <c r="BF48" i="6"/>
  <c r="BE48" i="6"/>
  <c r="AZ33" i="6"/>
  <c r="AU33" i="6"/>
  <c r="BE33" i="6"/>
  <c r="AP33" i="6"/>
  <c r="AK33" i="6"/>
  <c r="AV33" i="6"/>
  <c r="BF33" i="6"/>
  <c r="AQ33" i="6"/>
  <c r="AL33" i="6"/>
  <c r="BA33" i="6"/>
  <c r="AM33" i="6"/>
  <c r="BB33" i="6"/>
  <c r="AW33" i="6"/>
  <c r="BG33" i="6"/>
  <c r="AR33" i="6"/>
  <c r="AP55" i="6"/>
  <c r="BA57" i="6"/>
  <c r="BA52" i="6"/>
  <c r="AZ54" i="6"/>
  <c r="AP52" i="6"/>
  <c r="AR46" i="6"/>
  <c r="AR48" i="6"/>
  <c r="AC46" i="6"/>
  <c r="AC33" i="6"/>
  <c r="AB33" i="6"/>
  <c r="E97" i="6"/>
  <c r="AB56" i="6"/>
  <c r="AC56" i="6"/>
  <c r="AA56" i="6"/>
  <c r="AC55" i="6"/>
  <c r="AA55" i="6"/>
  <c r="AA33" i="6"/>
  <c r="AA50" i="6"/>
  <c r="AB50" i="6"/>
  <c r="AB52" i="6" s="1"/>
  <c r="AB54" i="6" s="1"/>
  <c r="AC50" i="6"/>
  <c r="AC52" i="6" s="1"/>
  <c r="AC54" i="6" s="1"/>
  <c r="AB55" i="6"/>
  <c r="AB37" i="6"/>
  <c r="V50" i="6"/>
  <c r="AF52" i="6"/>
  <c r="X50" i="6"/>
  <c r="AH52" i="6"/>
  <c r="W50" i="6"/>
  <c r="W33" i="6"/>
  <c r="AG33" i="6"/>
  <c r="V33" i="6"/>
  <c r="AF33" i="6"/>
  <c r="AH33" i="6"/>
  <c r="X33" i="6"/>
  <c r="AG47" i="6"/>
  <c r="AG48" i="6"/>
  <c r="AG49" i="6" s="1"/>
  <c r="Q14" i="12" l="1"/>
  <c r="R13" i="12"/>
  <c r="AH54" i="6"/>
  <c r="AH56" i="6"/>
  <c r="AH57" i="6" s="1"/>
  <c r="AF56" i="6"/>
  <c r="AF57" i="6" s="1"/>
  <c r="AP54" i="6"/>
  <c r="AF54" i="6"/>
  <c r="AG55" i="6"/>
  <c r="W38" i="6"/>
  <c r="AR55" i="6"/>
  <c r="AG38" i="6"/>
  <c r="AF38" i="6"/>
  <c r="X38" i="6"/>
  <c r="AH38" i="6"/>
  <c r="BL48" i="6"/>
  <c r="BK48" i="6"/>
  <c r="BJ48" i="6"/>
  <c r="BJ82" i="6"/>
  <c r="BJ59" i="6"/>
  <c r="D43" i="10"/>
  <c r="Q29" i="10"/>
  <c r="W29" i="10"/>
  <c r="F46" i="10"/>
  <c r="S29" i="10"/>
  <c r="F43" i="10"/>
  <c r="R29" i="10"/>
  <c r="E43" i="10"/>
  <c r="BJ47" i="6"/>
  <c r="R30" i="10"/>
  <c r="U30" i="10"/>
  <c r="W30" i="10"/>
  <c r="BL60" i="6"/>
  <c r="BL47" i="6"/>
  <c r="BJ60" i="6"/>
  <c r="BJ38" i="6"/>
  <c r="BK38" i="6"/>
  <c r="BK59" i="6"/>
  <c r="BL38" i="6"/>
  <c r="BL59" i="6"/>
  <c r="BK47" i="6"/>
  <c r="BK60" i="6"/>
  <c r="BF55" i="6"/>
  <c r="BF57" i="6" s="1"/>
  <c r="BE55" i="6"/>
  <c r="BE57" i="6" s="1"/>
  <c r="BE52" i="6"/>
  <c r="BE54" i="6" s="1"/>
  <c r="BF52" i="6"/>
  <c r="BF54" i="6" s="1"/>
  <c r="AQ38" i="6"/>
  <c r="AP38" i="6"/>
  <c r="BB38" i="6"/>
  <c r="AM38" i="6"/>
  <c r="BF38" i="6"/>
  <c r="BE38" i="6"/>
  <c r="AW38" i="6"/>
  <c r="AR38" i="6"/>
  <c r="AV38" i="6"/>
  <c r="BA38" i="6"/>
  <c r="AU38" i="6"/>
  <c r="BG38" i="6"/>
  <c r="AL38" i="6"/>
  <c r="AK38" i="6"/>
  <c r="AZ38" i="6"/>
  <c r="BA54" i="6"/>
  <c r="BB37" i="6"/>
  <c r="AP57" i="6"/>
  <c r="AM46" i="6"/>
  <c r="AM48" i="6"/>
  <c r="AR52" i="6"/>
  <c r="AW37" i="6"/>
  <c r="AR37" i="6"/>
  <c r="AM37" i="6"/>
  <c r="AA57" i="6"/>
  <c r="AC57" i="6"/>
  <c r="AB57" i="6"/>
  <c r="AB38" i="6"/>
  <c r="AA38" i="6"/>
  <c r="AA52" i="6"/>
  <c r="AA54" i="6" s="1"/>
  <c r="AC38" i="6"/>
  <c r="AG52" i="6"/>
  <c r="AG37" i="6"/>
  <c r="Q15" i="12" l="1"/>
  <c r="R14" i="12"/>
  <c r="AG53" i="6"/>
  <c r="AG54" i="6" s="1"/>
  <c r="AG56" i="6"/>
  <c r="AG57" i="6" s="1"/>
  <c r="AR53" i="6"/>
  <c r="AR54" i="6" s="1"/>
  <c r="AR56" i="6"/>
  <c r="AR57" i="6" s="1"/>
  <c r="BJ61" i="6"/>
  <c r="BJ62" i="6" s="1"/>
  <c r="BJ72" i="6"/>
  <c r="BL61" i="6"/>
  <c r="BL62" i="6" s="1"/>
  <c r="BK61" i="6"/>
  <c r="BK62" i="6" s="1"/>
  <c r="BK73" i="6"/>
  <c r="BK69" i="6"/>
  <c r="BK66" i="6"/>
  <c r="BK72" i="6"/>
  <c r="BK65" i="6"/>
  <c r="BK68" i="6"/>
  <c r="BK52" i="6"/>
  <c r="BK54" i="6" s="1"/>
  <c r="BK55" i="6"/>
  <c r="BK57" i="6" s="1"/>
  <c r="BL66" i="6"/>
  <c r="BL73" i="6"/>
  <c r="BL69" i="6"/>
  <c r="BJ66" i="6"/>
  <c r="BJ73" i="6"/>
  <c r="BJ69" i="6"/>
  <c r="BL72" i="6"/>
  <c r="BL68" i="6"/>
  <c r="BL65" i="6"/>
  <c r="BL52" i="6"/>
  <c r="BL54" i="6" s="1"/>
  <c r="BL55" i="6"/>
  <c r="BL57" i="6" s="1"/>
  <c r="BJ65" i="6"/>
  <c r="BJ68" i="6"/>
  <c r="BJ52" i="6"/>
  <c r="BJ54" i="6" s="1"/>
  <c r="BJ55" i="6"/>
  <c r="BJ57" i="6" s="1"/>
  <c r="AW46" i="6"/>
  <c r="AW48" i="6"/>
  <c r="AW55" i="6" s="1"/>
  <c r="AM55" i="6"/>
  <c r="AM57" i="6" s="1"/>
  <c r="AM52" i="6"/>
  <c r="AM54" i="6" s="1"/>
  <c r="AC37" i="6"/>
  <c r="Q16" i="12" l="1"/>
  <c r="R15" i="12"/>
  <c r="BL78" i="6"/>
  <c r="BJ75" i="6"/>
  <c r="BJ78" i="6"/>
  <c r="BL75" i="6"/>
  <c r="BL81" i="6"/>
  <c r="G129" i="6" s="1"/>
  <c r="BL74" i="6"/>
  <c r="G130" i="6" s="1"/>
  <c r="BL76" i="6"/>
  <c r="BL67" i="6"/>
  <c r="BK78" i="6"/>
  <c r="BK74" i="6"/>
  <c r="F130" i="6" s="1"/>
  <c r="BK81" i="6"/>
  <c r="F129" i="6" s="1"/>
  <c r="BJ81" i="6"/>
  <c r="E129" i="6" s="1"/>
  <c r="BJ74" i="6"/>
  <c r="E130" i="6" s="1"/>
  <c r="BK75" i="6"/>
  <c r="BK76" i="6"/>
  <c r="BK67" i="6"/>
  <c r="BJ76" i="6"/>
  <c r="BJ67" i="6"/>
  <c r="BK79" i="6"/>
  <c r="BK70" i="6"/>
  <c r="BL79" i="6"/>
  <c r="BL70" i="6"/>
  <c r="BJ70" i="6"/>
  <c r="BJ79" i="6"/>
  <c r="AW57" i="6"/>
  <c r="AW52" i="6"/>
  <c r="AW54" i="6" s="1"/>
  <c r="AH37" i="6"/>
  <c r="Q17" i="12" l="1"/>
  <c r="R16" i="12"/>
  <c r="BL77" i="6"/>
  <c r="BL80" i="6"/>
  <c r="O129" i="6" s="1"/>
  <c r="BJ80" i="6"/>
  <c r="M129" i="6" s="1"/>
  <c r="BJ77" i="6"/>
  <c r="BK77" i="6"/>
  <c r="BK80" i="6"/>
  <c r="N129" i="6" s="1"/>
  <c r="N5" i="6"/>
  <c r="N6" i="6"/>
  <c r="K5" i="6"/>
  <c r="V46" i="6"/>
  <c r="E32" i="6"/>
  <c r="Q18" i="12" l="1"/>
  <c r="R17" i="12"/>
  <c r="E30" i="6"/>
  <c r="E31" i="6"/>
  <c r="Q19" i="12" l="1"/>
  <c r="R18" i="12"/>
  <c r="X46" i="6"/>
  <c r="W46" i="6"/>
  <c r="Q20" i="12" l="1"/>
  <c r="R19" i="12"/>
  <c r="W37" i="6"/>
  <c r="Q21" i="12" l="1"/>
  <c r="R20" i="12"/>
  <c r="X48" i="6"/>
  <c r="X47" i="6"/>
  <c r="Q22" i="12" l="1"/>
  <c r="R21" i="12"/>
  <c r="X56" i="6"/>
  <c r="X53" i="6"/>
  <c r="X55" i="6"/>
  <c r="X52" i="6"/>
  <c r="W47" i="6"/>
  <c r="W48" i="6"/>
  <c r="W49" i="6" s="1"/>
  <c r="Q23" i="12" l="1"/>
  <c r="R22" i="12"/>
  <c r="W56" i="6"/>
  <c r="W53" i="6"/>
  <c r="X57" i="6"/>
  <c r="X54" i="6"/>
  <c r="AB40" i="6"/>
  <c r="AR40" i="6"/>
  <c r="AA40" i="6"/>
  <c r="AA63" i="6" s="1"/>
  <c r="AA68" i="6" s="1"/>
  <c r="AU40" i="6"/>
  <c r="BE40" i="6"/>
  <c r="AZ40" i="6"/>
  <c r="AP40" i="6"/>
  <c r="AK40" i="6"/>
  <c r="V40" i="6"/>
  <c r="V63" i="6" s="1"/>
  <c r="V64" i="6" s="1"/>
  <c r="V66" i="6" s="1"/>
  <c r="AF40" i="6"/>
  <c r="W55" i="6"/>
  <c r="W52" i="6"/>
  <c r="D17" i="6"/>
  <c r="M15" i="3"/>
  <c r="J14" i="3"/>
  <c r="I14" i="3"/>
  <c r="G14" i="3"/>
  <c r="F14" i="3"/>
  <c r="K14" i="3" s="1"/>
  <c r="E14" i="3"/>
  <c r="K13" i="3"/>
  <c r="K12" i="3"/>
  <c r="K11" i="3"/>
  <c r="K10" i="3"/>
  <c r="K9" i="3"/>
  <c r="J7" i="3"/>
  <c r="E7" i="3"/>
  <c r="H7" i="3"/>
  <c r="I7" i="3"/>
  <c r="G7" i="3"/>
  <c r="F7" i="3"/>
  <c r="Q24" i="12" l="1"/>
  <c r="R23" i="12"/>
  <c r="AB60" i="6"/>
  <c r="AB63" i="6"/>
  <c r="AB72" i="6" s="1"/>
  <c r="W54" i="6"/>
  <c r="W57" i="6"/>
  <c r="AH40" i="6"/>
  <c r="AH63" i="6" s="1"/>
  <c r="AH68" i="6" s="1"/>
  <c r="AC40" i="6"/>
  <c r="AW40" i="6"/>
  <c r="AW63" i="6" s="1"/>
  <c r="X40" i="6"/>
  <c r="D19" i="6"/>
  <c r="BG41" i="6" s="1"/>
  <c r="BB40" i="6"/>
  <c r="BB60" i="6" s="1"/>
  <c r="BG40" i="6"/>
  <c r="BG60" i="6" s="1"/>
  <c r="AQ40" i="6"/>
  <c r="AQ63" i="6" s="1"/>
  <c r="AQ64" i="6" s="1"/>
  <c r="D18" i="6"/>
  <c r="AV41" i="6" s="1"/>
  <c r="W40" i="6"/>
  <c r="AL40" i="6"/>
  <c r="AL63" i="6" s="1"/>
  <c r="AG40" i="6"/>
  <c r="AG63" i="6" s="1"/>
  <c r="BA40" i="6"/>
  <c r="BA60" i="6" s="1"/>
  <c r="BF40" i="6"/>
  <c r="BF60" i="6" s="1"/>
  <c r="AV40" i="6"/>
  <c r="AV60" i="6" s="1"/>
  <c r="AM40" i="6"/>
  <c r="AM63" i="6" s="1"/>
  <c r="AA60" i="6"/>
  <c r="BE63" i="6"/>
  <c r="BE68" i="6" s="1"/>
  <c r="AA72" i="6"/>
  <c r="AU63" i="6"/>
  <c r="AU60" i="6"/>
  <c r="AK60" i="6"/>
  <c r="AK63" i="6"/>
  <c r="AP60" i="6"/>
  <c r="AP63" i="6"/>
  <c r="AP64" i="6" s="1"/>
  <c r="AA41" i="6"/>
  <c r="BE41" i="6"/>
  <c r="AZ41" i="6"/>
  <c r="AP41" i="6"/>
  <c r="AK41" i="6"/>
  <c r="AU41" i="6"/>
  <c r="AZ63" i="6"/>
  <c r="AZ60" i="6"/>
  <c r="AR60" i="6"/>
  <c r="AR63" i="6"/>
  <c r="BE60" i="6"/>
  <c r="AF60" i="6"/>
  <c r="AF63" i="6"/>
  <c r="AF41" i="6"/>
  <c r="V41" i="6"/>
  <c r="V60" i="6"/>
  <c r="V61" i="6" s="1"/>
  <c r="V47" i="6"/>
  <c r="V48" i="6"/>
  <c r="V49" i="6" s="1"/>
  <c r="L9" i="3"/>
  <c r="L10" i="3"/>
  <c r="L12" i="3"/>
  <c r="L13" i="3"/>
  <c r="L11" i="3"/>
  <c r="AG68" i="6" l="1"/>
  <c r="AG64" i="6"/>
  <c r="AF68" i="6"/>
  <c r="AF78" i="6" s="1"/>
  <c r="M112" i="6" s="1"/>
  <c r="AF64" i="6"/>
  <c r="Q25" i="12"/>
  <c r="R24" i="12"/>
  <c r="V62" i="6"/>
  <c r="V56" i="6"/>
  <c r="V53" i="6"/>
  <c r="W63" i="6"/>
  <c r="AC60" i="6"/>
  <c r="AC63" i="6"/>
  <c r="AC72" i="6" s="1"/>
  <c r="G109" i="6" s="1"/>
  <c r="W60" i="6"/>
  <c r="AQ41" i="6"/>
  <c r="X60" i="6"/>
  <c r="AW60" i="6"/>
  <c r="AG60" i="6"/>
  <c r="BB63" i="6"/>
  <c r="BB72" i="6" s="1"/>
  <c r="AM60" i="6"/>
  <c r="BG63" i="6"/>
  <c r="BG68" i="6" s="1"/>
  <c r="BG78" i="6" s="1"/>
  <c r="AM41" i="6"/>
  <c r="AC41" i="6"/>
  <c r="AQ60" i="6"/>
  <c r="AW41" i="6"/>
  <c r="AH41" i="6"/>
  <c r="BB41" i="6"/>
  <c r="X41" i="6"/>
  <c r="AR41" i="6"/>
  <c r="AH60" i="6"/>
  <c r="BF41" i="6"/>
  <c r="W41" i="6"/>
  <c r="AL41" i="6"/>
  <c r="AL60" i="6"/>
  <c r="AG41" i="6"/>
  <c r="AB41" i="6"/>
  <c r="BA41" i="6"/>
  <c r="BA63" i="6"/>
  <c r="BA68" i="6" s="1"/>
  <c r="BA78" i="6" s="1"/>
  <c r="N124" i="6" s="1"/>
  <c r="AV63" i="6"/>
  <c r="AV68" i="6" s="1"/>
  <c r="AV78" i="6" s="1"/>
  <c r="N121" i="6" s="1"/>
  <c r="BF63" i="6"/>
  <c r="BF68" i="6" s="1"/>
  <c r="BF78" i="6" s="1"/>
  <c r="AA59" i="6"/>
  <c r="AA61" i="6" s="1"/>
  <c r="AA62" i="6" s="1"/>
  <c r="AA69" i="6"/>
  <c r="E109" i="6"/>
  <c r="F109" i="6"/>
  <c r="AA78" i="6"/>
  <c r="M109" i="6" s="1"/>
  <c r="AB68" i="6"/>
  <c r="AB78" i="6" s="1"/>
  <c r="N109" i="6" s="1"/>
  <c r="AB65" i="6"/>
  <c r="AB75" i="6" s="1"/>
  <c r="AA65" i="6"/>
  <c r="AA75" i="6" s="1"/>
  <c r="AZ65" i="6"/>
  <c r="AZ75" i="6" s="1"/>
  <c r="AZ68" i="6"/>
  <c r="AZ78" i="6" s="1"/>
  <c r="M124" i="6" s="1"/>
  <c r="AZ72" i="6"/>
  <c r="AM72" i="6"/>
  <c r="AM65" i="6"/>
  <c r="AM75" i="6" s="1"/>
  <c r="AM68" i="6"/>
  <c r="AM78" i="6" s="1"/>
  <c r="O115" i="6" s="1"/>
  <c r="AU68" i="6"/>
  <c r="AU78" i="6" s="1"/>
  <c r="M121" i="6" s="1"/>
  <c r="AU65" i="6"/>
  <c r="AU75" i="6" s="1"/>
  <c r="AU72" i="6"/>
  <c r="BE78" i="6"/>
  <c r="BE65" i="6"/>
  <c r="BE75" i="6" s="1"/>
  <c r="BE72" i="6"/>
  <c r="AR68" i="6"/>
  <c r="AR78" i="6" s="1"/>
  <c r="O118" i="6" s="1"/>
  <c r="AR65" i="6"/>
  <c r="AR75" i="6" s="1"/>
  <c r="AR72" i="6"/>
  <c r="AU59" i="6"/>
  <c r="AU61" i="6" s="1"/>
  <c r="AU62" i="6" s="1"/>
  <c r="AP68" i="6"/>
  <c r="AP78" i="6" s="1"/>
  <c r="M118" i="6" s="1"/>
  <c r="AP65" i="6"/>
  <c r="AP75" i="6" s="1"/>
  <c r="AP72" i="6"/>
  <c r="BG59" i="6"/>
  <c r="BG61" i="6" s="1"/>
  <c r="BG62" i="6" s="1"/>
  <c r="AL65" i="6"/>
  <c r="AL75" i="6" s="1"/>
  <c r="AL68" i="6"/>
  <c r="AL78" i="6" s="1"/>
  <c r="N115" i="6" s="1"/>
  <c r="AL72" i="6"/>
  <c r="AP59" i="6"/>
  <c r="AP61" i="6" s="1"/>
  <c r="AP62" i="6" s="1"/>
  <c r="AW68" i="6"/>
  <c r="AW78" i="6" s="1"/>
  <c r="O121" i="6" s="1"/>
  <c r="AW65" i="6"/>
  <c r="AW72" i="6"/>
  <c r="AK59" i="6"/>
  <c r="AK61" i="6" s="1"/>
  <c r="AK62" i="6" s="1"/>
  <c r="AZ59" i="6"/>
  <c r="AZ61" i="6" s="1"/>
  <c r="AZ62" i="6" s="1"/>
  <c r="BE59" i="6"/>
  <c r="BE61" i="6" s="1"/>
  <c r="BE62" i="6" s="1"/>
  <c r="AV59" i="6"/>
  <c r="AV61" i="6" s="1"/>
  <c r="AV62" i="6" s="1"/>
  <c r="AK68" i="6"/>
  <c r="AK78" i="6" s="1"/>
  <c r="M115" i="6" s="1"/>
  <c r="AK72" i="6"/>
  <c r="AK65" i="6"/>
  <c r="AK75" i="6" s="1"/>
  <c r="AQ68" i="6"/>
  <c r="AQ78" i="6" s="1"/>
  <c r="N118" i="6" s="1"/>
  <c r="AQ65" i="6"/>
  <c r="AQ75" i="6" s="1"/>
  <c r="AQ72" i="6"/>
  <c r="AF59" i="6"/>
  <c r="AF61" i="6" s="1"/>
  <c r="AF62" i="6" s="1"/>
  <c r="AF65" i="6"/>
  <c r="AF75" i="6" s="1"/>
  <c r="AF72" i="6"/>
  <c r="AH72" i="6"/>
  <c r="AH65" i="6"/>
  <c r="AH75" i="6" s="1"/>
  <c r="AH78" i="6"/>
  <c r="O112" i="6" s="1"/>
  <c r="AG72" i="6"/>
  <c r="AG65" i="6"/>
  <c r="AG75" i="6" s="1"/>
  <c r="AG78" i="6"/>
  <c r="N112" i="6" s="1"/>
  <c r="X72" i="6"/>
  <c r="G106" i="6" s="1"/>
  <c r="X68" i="6"/>
  <c r="X78" i="6" s="1"/>
  <c r="O106" i="6" s="1"/>
  <c r="X65" i="6"/>
  <c r="X75" i="6" s="1"/>
  <c r="V72" i="6"/>
  <c r="E106" i="6" s="1"/>
  <c r="V68" i="6"/>
  <c r="V65" i="6"/>
  <c r="V67" i="6" s="1"/>
  <c r="V55" i="6"/>
  <c r="V52" i="6"/>
  <c r="X37" i="6"/>
  <c r="L14" i="3"/>
  <c r="L15" i="3" s="1"/>
  <c r="W68" i="6" l="1"/>
  <c r="W78" i="6" s="1"/>
  <c r="N106" i="6" s="1"/>
  <c r="W64" i="6"/>
  <c r="W69" i="6" s="1"/>
  <c r="Q26" i="12"/>
  <c r="R25" i="12"/>
  <c r="AB73" i="6"/>
  <c r="F110" i="6" s="1"/>
  <c r="V54" i="6"/>
  <c r="V57" i="6"/>
  <c r="W59" i="6"/>
  <c r="W61" i="6" s="1"/>
  <c r="W62" i="6" s="1"/>
  <c r="W65" i="6"/>
  <c r="W75" i="6" s="1"/>
  <c r="W72" i="6"/>
  <c r="F106" i="6" s="1"/>
  <c r="AC59" i="6"/>
  <c r="AC61" i="6" s="1"/>
  <c r="AC62" i="6" s="1"/>
  <c r="AC66" i="6"/>
  <c r="AQ59" i="6"/>
  <c r="AQ61" i="6" s="1"/>
  <c r="AQ62" i="6" s="1"/>
  <c r="AW59" i="6"/>
  <c r="AW61" i="6" s="1"/>
  <c r="AW62" i="6" s="1"/>
  <c r="BG65" i="6"/>
  <c r="BG75" i="6" s="1"/>
  <c r="X59" i="6"/>
  <c r="X61" i="6" s="1"/>
  <c r="X62" i="6" s="1"/>
  <c r="AL59" i="6"/>
  <c r="AL61" i="6" s="1"/>
  <c r="AL62" i="6" s="1"/>
  <c r="AC68" i="6"/>
  <c r="AC78" i="6" s="1"/>
  <c r="O109" i="6" s="1"/>
  <c r="AC65" i="6"/>
  <c r="AC75" i="6" s="1"/>
  <c r="BB65" i="6"/>
  <c r="BB75" i="6" s="1"/>
  <c r="BB68" i="6"/>
  <c r="BB78" i="6" s="1"/>
  <c r="O124" i="6" s="1"/>
  <c r="BB59" i="6"/>
  <c r="BB61" i="6" s="1"/>
  <c r="BB62" i="6" s="1"/>
  <c r="BG72" i="6"/>
  <c r="AH59" i="6"/>
  <c r="AH61" i="6" s="1"/>
  <c r="AH62" i="6" s="1"/>
  <c r="AV72" i="6"/>
  <c r="F121" i="6" s="1"/>
  <c r="AV65" i="6"/>
  <c r="AV75" i="6" s="1"/>
  <c r="BA65" i="6"/>
  <c r="BA75" i="6" s="1"/>
  <c r="AB59" i="6"/>
  <c r="AB61" i="6" s="1"/>
  <c r="AB62" i="6" s="1"/>
  <c r="BA72" i="6"/>
  <c r="F124" i="6" s="1"/>
  <c r="AM59" i="6"/>
  <c r="AM61" i="6" s="1"/>
  <c r="AM62" i="6" s="1"/>
  <c r="AR59" i="6"/>
  <c r="AR61" i="6" s="1"/>
  <c r="AR62" i="6" s="1"/>
  <c r="BF59" i="6"/>
  <c r="BF61" i="6" s="1"/>
  <c r="BF62" i="6" s="1"/>
  <c r="BA59" i="6"/>
  <c r="BA61" i="6" s="1"/>
  <c r="BA62" i="6" s="1"/>
  <c r="AG59" i="6"/>
  <c r="AG61" i="6" s="1"/>
  <c r="AG62" i="6" s="1"/>
  <c r="BF72" i="6"/>
  <c r="BF65" i="6"/>
  <c r="BF75" i="6" s="1"/>
  <c r="F112" i="6"/>
  <c r="E118" i="6"/>
  <c r="E121" i="6"/>
  <c r="G115" i="6"/>
  <c r="F115" i="6"/>
  <c r="G124" i="6"/>
  <c r="E124" i="6"/>
  <c r="G112" i="6"/>
  <c r="E112" i="6"/>
  <c r="G118" i="6"/>
  <c r="E115" i="6"/>
  <c r="F118" i="6"/>
  <c r="G121" i="6"/>
  <c r="AA66" i="6"/>
  <c r="AA76" i="6" s="1"/>
  <c r="AA77" i="6" s="1"/>
  <c r="AA73" i="6"/>
  <c r="AR66" i="6"/>
  <c r="AR73" i="6"/>
  <c r="AR69" i="6"/>
  <c r="AL73" i="6"/>
  <c r="AL66" i="6"/>
  <c r="AL69" i="6"/>
  <c r="AK66" i="6"/>
  <c r="AK73" i="6"/>
  <c r="AK69" i="6"/>
  <c r="BF66" i="6"/>
  <c r="BF69" i="6"/>
  <c r="BF73" i="6"/>
  <c r="AV66" i="6"/>
  <c r="AV76" i="6" s="1"/>
  <c r="AV73" i="6"/>
  <c r="AV69" i="6"/>
  <c r="AP69" i="6"/>
  <c r="AP66" i="6"/>
  <c r="AP73" i="6"/>
  <c r="BA73" i="6"/>
  <c r="BA66" i="6"/>
  <c r="BA69" i="6"/>
  <c r="AQ66" i="6"/>
  <c r="AQ73" i="6"/>
  <c r="AQ74" i="6" s="1"/>
  <c r="AQ69" i="6"/>
  <c r="BB73" i="6"/>
  <c r="BB69" i="6"/>
  <c r="BB66" i="6"/>
  <c r="AZ66" i="6"/>
  <c r="AZ73" i="6"/>
  <c r="AZ69" i="6"/>
  <c r="AU66" i="6"/>
  <c r="AU73" i="6"/>
  <c r="AU69" i="6"/>
  <c r="BE69" i="6"/>
  <c r="BE66" i="6"/>
  <c r="BE73" i="6"/>
  <c r="BG73" i="6"/>
  <c r="BG69" i="6"/>
  <c r="BG66" i="6"/>
  <c r="AW75" i="6"/>
  <c r="AW73" i="6"/>
  <c r="AW69" i="6"/>
  <c r="AW66" i="6"/>
  <c r="AW76" i="6" s="1"/>
  <c r="AM69" i="6"/>
  <c r="AM66" i="6"/>
  <c r="AM73" i="6"/>
  <c r="AA79" i="6"/>
  <c r="AA70" i="6"/>
  <c r="AH66" i="6"/>
  <c r="AH73" i="6"/>
  <c r="AH69" i="6"/>
  <c r="AG73" i="6"/>
  <c r="AG66" i="6"/>
  <c r="AG69" i="6"/>
  <c r="AF66" i="6"/>
  <c r="AF69" i="6"/>
  <c r="AF73" i="6"/>
  <c r="V75" i="6"/>
  <c r="X69" i="6"/>
  <c r="X66" i="6"/>
  <c r="V73" i="6"/>
  <c r="V69" i="6"/>
  <c r="V78" i="6"/>
  <c r="M106" i="6" s="1"/>
  <c r="R26" i="12" l="1"/>
  <c r="AB66" i="6"/>
  <c r="AB76" i="6" s="1"/>
  <c r="AB77" i="6" s="1"/>
  <c r="AB69" i="6"/>
  <c r="AB79" i="6" s="1"/>
  <c r="AB80" i="6" s="1"/>
  <c r="N111" i="6" s="1"/>
  <c r="AV74" i="6"/>
  <c r="F123" i="6" s="1"/>
  <c r="AC67" i="6"/>
  <c r="W73" i="6"/>
  <c r="F107" i="6" s="1"/>
  <c r="AB74" i="6"/>
  <c r="F111" i="6" s="1"/>
  <c r="W66" i="6"/>
  <c r="W76" i="6" s="1"/>
  <c r="W77" i="6" s="1"/>
  <c r="AC73" i="6"/>
  <c r="AC74" i="6" s="1"/>
  <c r="AC76" i="6"/>
  <c r="AC77" i="6" s="1"/>
  <c r="AC69" i="6"/>
  <c r="AC79" i="6" s="1"/>
  <c r="AC80" i="6" s="1"/>
  <c r="O111" i="6" s="1"/>
  <c r="AA80" i="6"/>
  <c r="M111" i="6" s="1"/>
  <c r="M110" i="6"/>
  <c r="BG74" i="6"/>
  <c r="F119" i="6"/>
  <c r="BF74" i="6"/>
  <c r="F122" i="6"/>
  <c r="F120" i="6"/>
  <c r="BE74" i="6"/>
  <c r="AP74" i="6"/>
  <c r="E119" i="6"/>
  <c r="AR74" i="6"/>
  <c r="G119" i="6"/>
  <c r="AU74" i="6"/>
  <c r="E122" i="6"/>
  <c r="BB74" i="6"/>
  <c r="G125" i="6"/>
  <c r="AM74" i="6"/>
  <c r="G116" i="6"/>
  <c r="AK74" i="6"/>
  <c r="E116" i="6"/>
  <c r="AF74" i="6"/>
  <c r="E113" i="6"/>
  <c r="AA74" i="6"/>
  <c r="E110" i="6"/>
  <c r="AZ74" i="6"/>
  <c r="E125" i="6"/>
  <c r="AG74" i="6"/>
  <c r="F113" i="6"/>
  <c r="AL74" i="6"/>
  <c r="F116" i="6"/>
  <c r="G108" i="6"/>
  <c r="G107" i="6"/>
  <c r="V74" i="6"/>
  <c r="E108" i="6" s="1"/>
  <c r="E107" i="6"/>
  <c r="AH74" i="6"/>
  <c r="G113" i="6"/>
  <c r="AW74" i="6"/>
  <c r="G122" i="6"/>
  <c r="BA74" i="6"/>
  <c r="F125" i="6"/>
  <c r="BG81" i="6"/>
  <c r="G127" i="6" s="1"/>
  <c r="BF81" i="6"/>
  <c r="F127" i="6" s="1"/>
  <c r="BE81" i="6"/>
  <c r="E127" i="6" s="1"/>
  <c r="AW77" i="6"/>
  <c r="AA67" i="6"/>
  <c r="AW67" i="6"/>
  <c r="AV67" i="6"/>
  <c r="BB70" i="6"/>
  <c r="BB79" i="6"/>
  <c r="AR79" i="6"/>
  <c r="AR70" i="6"/>
  <c r="AQ70" i="6"/>
  <c r="AQ79" i="6"/>
  <c r="AL79" i="6"/>
  <c r="AL70" i="6"/>
  <c r="AM76" i="6"/>
  <c r="AM77" i="6" s="1"/>
  <c r="AM67" i="6"/>
  <c r="BE76" i="6"/>
  <c r="BE77" i="6" s="1"/>
  <c r="BE67" i="6"/>
  <c r="AL76" i="6"/>
  <c r="AL77" i="6" s="1"/>
  <c r="AL67" i="6"/>
  <c r="AQ76" i="6"/>
  <c r="AQ77" i="6" s="1"/>
  <c r="AQ67" i="6"/>
  <c r="BG76" i="6"/>
  <c r="BG77" i="6" s="1"/>
  <c r="BG67" i="6"/>
  <c r="AZ76" i="6"/>
  <c r="AZ77" i="6" s="1"/>
  <c r="AZ67" i="6"/>
  <c r="AV79" i="6"/>
  <c r="AV70" i="6"/>
  <c r="BF79" i="6"/>
  <c r="BF80" i="6" s="1"/>
  <c r="BF70" i="6"/>
  <c r="AK76" i="6"/>
  <c r="AK77" i="6" s="1"/>
  <c r="AK67" i="6"/>
  <c r="AR76" i="6"/>
  <c r="AR77" i="6" s="1"/>
  <c r="AR67" i="6"/>
  <c r="AP79" i="6"/>
  <c r="AP70" i="6"/>
  <c r="AM70" i="6"/>
  <c r="AM79" i="6"/>
  <c r="AW79" i="6"/>
  <c r="AW70" i="6"/>
  <c r="BG79" i="6"/>
  <c r="BG80" i="6" s="1"/>
  <c r="BG70" i="6"/>
  <c r="AU70" i="6"/>
  <c r="AU79" i="6"/>
  <c r="BA79" i="6"/>
  <c r="BA70" i="6"/>
  <c r="BF76" i="6"/>
  <c r="BF77" i="6" s="1"/>
  <c r="BF67" i="6"/>
  <c r="AU67" i="6"/>
  <c r="AU76" i="6"/>
  <c r="AU77" i="6" s="1"/>
  <c r="AP76" i="6"/>
  <c r="AP77" i="6" s="1"/>
  <c r="AP67" i="6"/>
  <c r="AZ70" i="6"/>
  <c r="AZ79" i="6"/>
  <c r="BE79" i="6"/>
  <c r="BE80" i="6" s="1"/>
  <c r="BE70" i="6"/>
  <c r="BB67" i="6"/>
  <c r="BB76" i="6"/>
  <c r="BB77" i="6" s="1"/>
  <c r="BA76" i="6"/>
  <c r="BA77" i="6" s="1"/>
  <c r="BA67" i="6"/>
  <c r="AV77" i="6"/>
  <c r="AK79" i="6"/>
  <c r="AK70" i="6"/>
  <c r="AH76" i="6"/>
  <c r="AH77" i="6" s="1"/>
  <c r="AH67" i="6"/>
  <c r="AG67" i="6"/>
  <c r="AG76" i="6"/>
  <c r="AG77" i="6" s="1"/>
  <c r="AF79" i="6"/>
  <c r="AF70" i="6"/>
  <c r="AF76" i="6"/>
  <c r="AF77" i="6" s="1"/>
  <c r="AF67" i="6"/>
  <c r="AG79" i="6"/>
  <c r="AG70" i="6"/>
  <c r="AH79" i="6"/>
  <c r="AH70" i="6"/>
  <c r="V76" i="6"/>
  <c r="V77" i="6" s="1"/>
  <c r="X67" i="6"/>
  <c r="X76" i="6"/>
  <c r="X77" i="6" s="1"/>
  <c r="W79" i="6"/>
  <c r="W70" i="6"/>
  <c r="X70" i="6"/>
  <c r="X79" i="6"/>
  <c r="V79" i="6"/>
  <c r="V80" i="6" s="1"/>
  <c r="V81" i="6" s="1"/>
  <c r="V70" i="6"/>
  <c r="N110" i="6" l="1"/>
  <c r="AB67" i="6"/>
  <c r="O127" i="6"/>
  <c r="M127" i="6"/>
  <c r="N127" i="6"/>
  <c r="AB70" i="6"/>
  <c r="W74" i="6"/>
  <c r="F108" i="6" s="1"/>
  <c r="O110" i="6"/>
  <c r="AC70" i="6"/>
  <c r="G110" i="6"/>
  <c r="W67" i="6"/>
  <c r="AH80" i="6"/>
  <c r="O114" i="6" s="1"/>
  <c r="O113" i="6"/>
  <c r="AR80" i="6"/>
  <c r="O120" i="6" s="1"/>
  <c r="O119" i="6"/>
  <c r="W80" i="6"/>
  <c r="N107" i="6"/>
  <c r="AW80" i="6"/>
  <c r="O123" i="6" s="1"/>
  <c r="O122" i="6"/>
  <c r="AP80" i="6"/>
  <c r="M120" i="6" s="1"/>
  <c r="M119" i="6"/>
  <c r="BB80" i="6"/>
  <c r="O126" i="6" s="1"/>
  <c r="O125" i="6"/>
  <c r="AK80" i="6"/>
  <c r="M117" i="6" s="1"/>
  <c r="M116" i="6"/>
  <c r="X80" i="6"/>
  <c r="O108" i="6" s="1"/>
  <c r="O107" i="6"/>
  <c r="AL80" i="6"/>
  <c r="N117" i="6" s="1"/>
  <c r="N116" i="6"/>
  <c r="AV80" i="6"/>
  <c r="N123" i="6" s="1"/>
  <c r="N122" i="6"/>
  <c r="AG80" i="6"/>
  <c r="N114" i="6" s="1"/>
  <c r="N113" i="6"/>
  <c r="M108" i="6"/>
  <c r="M107" i="6"/>
  <c r="AZ80" i="6"/>
  <c r="M126" i="6" s="1"/>
  <c r="M125" i="6"/>
  <c r="AM80" i="6"/>
  <c r="O117" i="6" s="1"/>
  <c r="O116" i="6"/>
  <c r="BA80" i="6"/>
  <c r="N126" i="6" s="1"/>
  <c r="N125" i="6"/>
  <c r="AF80" i="6"/>
  <c r="M114" i="6" s="1"/>
  <c r="M113" i="6"/>
  <c r="AU80" i="6"/>
  <c r="M123" i="6" s="1"/>
  <c r="M122" i="6"/>
  <c r="AQ80" i="6"/>
  <c r="N120" i="6" s="1"/>
  <c r="N119" i="6"/>
  <c r="F126" i="6"/>
  <c r="E111" i="6"/>
  <c r="G120" i="6"/>
  <c r="G117" i="6"/>
  <c r="G123" i="6"/>
  <c r="F117" i="6"/>
  <c r="G111" i="6"/>
  <c r="E120" i="6"/>
  <c r="F128" i="6"/>
  <c r="G114" i="6"/>
  <c r="F114" i="6"/>
  <c r="E114" i="6"/>
  <c r="G126" i="6"/>
  <c r="E126" i="6"/>
  <c r="E117" i="6"/>
  <c r="E123" i="6"/>
  <c r="E128" i="6"/>
  <c r="G128" i="6"/>
  <c r="N108" i="6" l="1"/>
  <c r="W81" i="6"/>
</calcChain>
</file>

<file path=xl/sharedStrings.xml><?xml version="1.0" encoding="utf-8"?>
<sst xmlns="http://schemas.openxmlformats.org/spreadsheetml/2006/main" count="936" uniqueCount="323">
  <si>
    <t>Variable inputs</t>
  </si>
  <si>
    <t>Static inputs</t>
  </si>
  <si>
    <t>Heat Pumps</t>
  </si>
  <si>
    <t>Furnace/Boilers</t>
  </si>
  <si>
    <t>Calculated values</t>
  </si>
  <si>
    <t>Climate Zone</t>
  </si>
  <si>
    <t>Annual Heating Usage, kWh</t>
  </si>
  <si>
    <t>Average Output Capacity, Btu.hr</t>
  </si>
  <si>
    <t>kBtu</t>
  </si>
  <si>
    <t>Annual Heating Usage, therms</t>
  </si>
  <si>
    <t>Measure Details</t>
  </si>
  <si>
    <t>Parameter</t>
  </si>
  <si>
    <t>Source/Notes</t>
  </si>
  <si>
    <t>Existing</t>
  </si>
  <si>
    <t>Efficient case</t>
  </si>
  <si>
    <t>Savings application</t>
  </si>
  <si>
    <t>Heating</t>
  </si>
  <si>
    <t>Savings units</t>
  </si>
  <si>
    <t>kWh</t>
  </si>
  <si>
    <t>therms</t>
  </si>
  <si>
    <t>System Type (select one)</t>
  </si>
  <si>
    <t>Whole Home</t>
  </si>
  <si>
    <t>Primary with Backup</t>
  </si>
  <si>
    <t>Temperature Switchover, DB</t>
  </si>
  <si>
    <t>Electric grid CO2e emissions, Mt CO2e/kWh (Metric tons)</t>
  </si>
  <si>
    <t>Mt CO2e / mmbtu</t>
  </si>
  <si>
    <r>
      <t>Natural Gas CO2e Emissions, Mt CO2e/</t>
    </r>
    <r>
      <rPr>
        <sz val="11"/>
        <rFont val="Calibri"/>
        <family val="2"/>
        <scheme val="minor"/>
      </rPr>
      <t>therm</t>
    </r>
  </si>
  <si>
    <t>% of load served by backup</t>
  </si>
  <si>
    <t>% of load served by HP</t>
  </si>
  <si>
    <t xml:space="preserve">Algorithms: </t>
  </si>
  <si>
    <t>Electric Use, kWh =</t>
  </si>
  <si>
    <t>Btuh_out/12,000 Btu/ton x EFLHHEAT(heat pump) x 12 / HSPF</t>
  </si>
  <si>
    <t xml:space="preserve">Gas use, therms = </t>
  </si>
  <si>
    <t xml:space="preserve"> - Btuh_out / Eff, % x EFLHHeat(furnace) / Conversion_Factor</t>
  </si>
  <si>
    <t>Btuh_out/12,000 Btu/ton x EFLHHEAT(heat pump) x (% of EFLH served by HP) x 12 / HSPF</t>
  </si>
  <si>
    <t>- Btuh_out / Eff, % x EFLHHeat(furnace) x (% of EFLH served by HP) / Conversion_Factor</t>
  </si>
  <si>
    <t>Furnaces/Boilers</t>
  </si>
  <si>
    <t>HDD 65</t>
  </si>
  <si>
    <t>EFLH Heating (from billing analysis)</t>
  </si>
  <si>
    <t>HP EFLH / Gas EFLH</t>
  </si>
  <si>
    <t>EFLH Heating (adjusted)*</t>
  </si>
  <si>
    <t>Heating EFLH</t>
  </si>
  <si>
    <t>System Type</t>
  </si>
  <si>
    <t>New Heat Pump</t>
  </si>
  <si>
    <r>
      <rPr>
        <sz val="11"/>
        <color rgb="FFFF0000"/>
        <rFont val="Calibri"/>
        <family val="2"/>
        <scheme val="minor"/>
      </rPr>
      <t>Output</t>
    </r>
    <r>
      <rPr>
        <sz val="11"/>
        <color theme="1"/>
        <rFont val="Calibri"/>
        <family val="2"/>
        <scheme val="minor"/>
      </rPr>
      <t xml:space="preserve"> capacity, Btu/hr</t>
    </r>
  </si>
  <si>
    <t>Heat Pump EFLH</t>
  </si>
  <si>
    <t>Zone 1</t>
  </si>
  <si>
    <t>Zone 2</t>
  </si>
  <si>
    <t>Zone 3</t>
  </si>
  <si>
    <t>HSPF</t>
  </si>
  <si>
    <t>Min</t>
  </si>
  <si>
    <t>Max</t>
  </si>
  <si>
    <t>Avg DB, F</t>
  </si>
  <si>
    <t>Hours</t>
  </si>
  <si>
    <t>Input capacity, Btu/hr</t>
  </si>
  <si>
    <t>POTENTAL kBtu delivery</t>
  </si>
  <si>
    <t>Backup System</t>
  </si>
  <si>
    <r>
      <rPr>
        <sz val="11"/>
        <color rgb="FFFF0000"/>
        <rFont val="Calibri"/>
        <family val="2"/>
        <scheme val="minor"/>
      </rPr>
      <t xml:space="preserve">Output </t>
    </r>
    <r>
      <rPr>
        <sz val="11"/>
        <color theme="1"/>
        <rFont val="Calibri"/>
        <family val="2"/>
        <scheme val="minor"/>
      </rPr>
      <t>capacity, Btu/hr</t>
    </r>
  </si>
  <si>
    <t>Furnace/Boiler EFLH</t>
  </si>
  <si>
    <t>Thermal efficiency</t>
  </si>
  <si>
    <t>Delivered kBtu in existing</t>
  </si>
  <si>
    <t>Therms Consumed</t>
  </si>
  <si>
    <t>KWH Consumed</t>
  </si>
  <si>
    <t>$/therm</t>
  </si>
  <si>
    <t>$/kWh</t>
  </si>
  <si>
    <t>Cost of therms ($)</t>
  </si>
  <si>
    <t>Cost of kWh ($)</t>
  </si>
  <si>
    <t>Total Cost ($)</t>
  </si>
  <si>
    <t>Total</t>
  </si>
  <si>
    <t>Gas emissions, mt CO2e</t>
  </si>
  <si>
    <t>Heating Hours (&lt;60F)</t>
  </si>
  <si>
    <t>Electric emissions, mt CO2</t>
  </si>
  <si>
    <t>Total Emissions, mt CO2e</t>
  </si>
  <si>
    <t>Performance Case (HP Installed)</t>
  </si>
  <si>
    <t>Heat Pump delivered kBtu</t>
  </si>
  <si>
    <t>Backup System delivered kBtu</t>
  </si>
  <si>
    <t>Total delivered kBtu</t>
  </si>
  <si>
    <t>Delivered heat comparison</t>
  </si>
  <si>
    <t>Net Results</t>
  </si>
  <si>
    <t>negative is reduction of therms</t>
  </si>
  <si>
    <t>Therms, net (eliminated)</t>
  </si>
  <si>
    <t>positive is increase in kWh use</t>
  </si>
  <si>
    <t>kWh, net</t>
  </si>
  <si>
    <t>positive is increase in energy consumption</t>
  </si>
  <si>
    <t>MMBTU, net (eliminated)</t>
  </si>
  <si>
    <t>negative in decrease</t>
  </si>
  <si>
    <t>Therms operating cost (net)</t>
  </si>
  <si>
    <t>positive is increase</t>
  </si>
  <si>
    <t>kWh operating cost (net)</t>
  </si>
  <si>
    <t>red = not cost effective $, green = cost effective $</t>
  </si>
  <si>
    <t>Total Operating Cost (net)</t>
  </si>
  <si>
    <t>Gas Emissions, mt CO2e (net)</t>
  </si>
  <si>
    <t>Electric Emissions, mt CO2e (net)</t>
  </si>
  <si>
    <t>red = no carbon reduction, green = carbon reduction achieved</t>
  </si>
  <si>
    <t>Total Emissions, mt CO2e (net)</t>
  </si>
  <si>
    <t>AVERAGE</t>
  </si>
  <si>
    <t>Zone1</t>
  </si>
  <si>
    <t>Zone2</t>
  </si>
  <si>
    <t>Zone3</t>
  </si>
  <si>
    <t>Case studies (up to 6)</t>
  </si>
  <si>
    <t>Task</t>
  </si>
  <si>
    <t>Role</t>
  </si>
  <si>
    <t>PI</t>
  </si>
  <si>
    <t>PM</t>
  </si>
  <si>
    <t>Tech Lead</t>
  </si>
  <si>
    <t>Tech Adv.</t>
  </si>
  <si>
    <t>Analyst</t>
  </si>
  <si>
    <t>Total Hours</t>
  </si>
  <si>
    <t>Total $</t>
  </si>
  <si>
    <t>Staff</t>
  </si>
  <si>
    <t>Neil V</t>
  </si>
  <si>
    <t>Christie A</t>
  </si>
  <si>
    <t>Jeremy Koo</t>
  </si>
  <si>
    <t>John W</t>
  </si>
  <si>
    <t>Jane Marsh</t>
  </si>
  <si>
    <t>Brandon Kirlin</t>
  </si>
  <si>
    <t>Rate</t>
  </si>
  <si>
    <t>Description</t>
  </si>
  <si>
    <t>PM/Kickoff</t>
  </si>
  <si>
    <t>ID potential sites, site outreach</t>
  </si>
  <si>
    <t>Case study template</t>
  </si>
  <si>
    <t>6 case studies</t>
  </si>
  <si>
    <t>Package/publish</t>
  </si>
  <si>
    <t>Gas Cost</t>
  </si>
  <si>
    <t>per thousand CF</t>
  </si>
  <si>
    <t>https://www.eia.gov/dnav/ng/hist/n3010mn3m.htm</t>
  </si>
  <si>
    <t>per therm</t>
  </si>
  <si>
    <t>Electric Cost</t>
  </si>
  <si>
    <t>per kWH</t>
  </si>
  <si>
    <t>https://ycharts.com/indicators/minnesota_electric_utility_retail_price</t>
  </si>
  <si>
    <t>EFLH/ HDD</t>
  </si>
  <si>
    <t>heat pump sized to serve all of heating load (might fall short in coldest hours)</t>
  </si>
  <si>
    <t>Gas Furnace Baseline</t>
  </si>
  <si>
    <t>Propane Furnace Baseline</t>
  </si>
  <si>
    <t>existing heating system stays in place, heat pump sized meet 100% of cooling load and intended to displace as much of the heating load as possible, HP becomes primary heating system with backup served by existing system.  Switchover temperature setpoint determines what proportion each serves</t>
  </si>
  <si>
    <t>Gas Boiler Baseline</t>
  </si>
  <si>
    <t>For Deemed Savings, assumed Constants:</t>
  </si>
  <si>
    <t>Zone 3 HP Capacity (output)</t>
  </si>
  <si>
    <t>Zone 2 HP Capacity (output)</t>
  </si>
  <si>
    <t>Zone 1 HP Capacity (output)</t>
  </si>
  <si>
    <t>Btu/hr</t>
  </si>
  <si>
    <t>HSPF of ASHP</t>
  </si>
  <si>
    <t>SEER of ASHP</t>
  </si>
  <si>
    <t>Adjust in 5F increments. For switchovers less than 30 degrees, use custom calculation that adjusts the output capacity of the HP and the HSPF with OSA temperature.  This calculation does not</t>
  </si>
  <si>
    <t>MN Study Findings:</t>
  </si>
  <si>
    <t>*Based on 1293 EFLH, suspect most of these homes used HP as part load, not whole home.</t>
  </si>
  <si>
    <t>largely found size in study, and equates to equal delivered heating load as existing furnace</t>
  </si>
  <si>
    <t>equates to equal delivered heating load as existing furnace</t>
  </si>
  <si>
    <t>Units</t>
  </si>
  <si>
    <t>Existing Capacity (output)</t>
  </si>
  <si>
    <t>Avg of found in study of furnace sizes, large population of responses, no significant difference in zones</t>
  </si>
  <si>
    <t>EER of ASHP</t>
  </si>
  <si>
    <t xml:space="preserve">from study of installed HPs in MN, median value </t>
  </si>
  <si>
    <t xml:space="preserve">Furnace Efficiency </t>
  </si>
  <si>
    <t>Boiler Efficiency</t>
  </si>
  <si>
    <t>Wood Stove Efficiency</t>
  </si>
  <si>
    <t>AC Efficiency</t>
  </si>
  <si>
    <t>Electric Resistance Heating</t>
  </si>
  <si>
    <t>1:1 input to output</t>
  </si>
  <si>
    <t>https://www.ecfr.gov/cgi-bin/text-idx?SID=a9921a66f2b4f66a32ec851916b7b9d9&amp;mc=true&amp;node=se10.3.430_132&amp;rgn=div8</t>
  </si>
  <si>
    <t>likely high estimate, this is of energy star ones</t>
  </si>
  <si>
    <t>SEER</t>
  </si>
  <si>
    <t>https://www.epa.gov/egrid</t>
  </si>
  <si>
    <t>https://www.epa.gov/system/files/documents/2022-04/ghg_emission_factors_hub.pdf</t>
  </si>
  <si>
    <t>Propane emissions, mt CO2e</t>
  </si>
  <si>
    <t>Propane Emissions, mt CO2e (net)</t>
  </si>
  <si>
    <t>Propane Cost</t>
  </si>
  <si>
    <t>https://ycharts.com/indicators/minnesota_residential_propane_price</t>
  </si>
  <si>
    <t>per gallon</t>
  </si>
  <si>
    <t>Wood Cost (pellet)</t>
  </si>
  <si>
    <t>per ton</t>
  </si>
  <si>
    <t>https://catalog.extension.oregonstate.edu/sites/catalog/files/project/pdf/ec1628.pdf</t>
  </si>
  <si>
    <t>Propane Boiler Baseline</t>
  </si>
  <si>
    <t>Fuel Oil Boiler Baseline</t>
  </si>
  <si>
    <t>Fuel Oil emissions, mt CO2e</t>
  </si>
  <si>
    <t>Fuel Oil Emissions, mt CO2e (net)</t>
  </si>
  <si>
    <t>Propane CO2e Emissions, 
Mt CO2e/therm</t>
  </si>
  <si>
    <t>Wood CO2e Emissions, 
Mt CO2e/therm</t>
  </si>
  <si>
    <t>Fuel Oil CO2e Emissions, 
Mt CO2e/therm</t>
  </si>
  <si>
    <t>Wood emissions, mt CO2e</t>
  </si>
  <si>
    <t>Wood Emissions, mt CO2e (net)</t>
  </si>
  <si>
    <t>Elec Resist emissions, mt CO2e</t>
  </si>
  <si>
    <t>HP emissions, mt CO2</t>
  </si>
  <si>
    <t>HP Emissions, mt CO2e (net)</t>
  </si>
  <si>
    <t>KWH Consumed by HP</t>
  </si>
  <si>
    <t>kWH Consumed by Elec Resist</t>
  </si>
  <si>
    <t>kWh Elec Resist operating cost (net)</t>
  </si>
  <si>
    <t>kWh HP operating cost (net)</t>
  </si>
  <si>
    <t>$/kWh for HP</t>
  </si>
  <si>
    <t>$/kWh for Elec Resist</t>
  </si>
  <si>
    <t>https://ycharts.com/indicators/minnesota_residential_heating_oil_price</t>
  </si>
  <si>
    <t xml:space="preserve">Fuel Oil  </t>
  </si>
  <si>
    <t>Existing System</t>
  </si>
  <si>
    <t>Cost of HP KWH ($)</t>
  </si>
  <si>
    <t>Cost of Elec Resist kWH ($)</t>
  </si>
  <si>
    <t>kWh from HP, net</t>
  </si>
  <si>
    <t>KWh from Elec Resist, net (eliminated)</t>
  </si>
  <si>
    <t>Fuel</t>
  </si>
  <si>
    <t>Natural Gas</t>
  </si>
  <si>
    <t>KWH</t>
  </si>
  <si>
    <t>Dth Saved</t>
  </si>
  <si>
    <t>kWH Added</t>
  </si>
  <si>
    <t>Net MMBTU Saved</t>
  </si>
  <si>
    <t>Blended</t>
  </si>
  <si>
    <t>Propane</t>
  </si>
  <si>
    <t>Fuel Oil</t>
  </si>
  <si>
    <t>Wood Pellet</t>
  </si>
  <si>
    <t>Net KWH Saved</t>
  </si>
  <si>
    <t>kWH</t>
  </si>
  <si>
    <t>kWH net (saved)</t>
  </si>
  <si>
    <t>Fossil fuel system,  Electric Resistance Heating System or less efficient ASHP</t>
  </si>
  <si>
    <t>Electric Air Source heat pump</t>
  </si>
  <si>
    <t>AC or less efficient ASHP</t>
  </si>
  <si>
    <t>Cooling</t>
  </si>
  <si>
    <t>Less Efficient ASHP</t>
  </si>
  <si>
    <t>Less Efficient ASHP as Baseline</t>
  </si>
  <si>
    <t>kWH Consumed by HP Base</t>
  </si>
  <si>
    <t>KWH Consumed by HP EFF</t>
  </si>
  <si>
    <t>Cost of HP BASE kWH ($)</t>
  </si>
  <si>
    <t>Cost of HP EFF KWH ($)</t>
  </si>
  <si>
    <t>HP Base emissions, mt CO2e</t>
  </si>
  <si>
    <t>HP EFF emissions, mt CO2</t>
  </si>
  <si>
    <t>kWh HP Base operating cost (net)</t>
  </si>
  <si>
    <t>kWh HP EFF operating cost (net)</t>
  </si>
  <si>
    <t>HP BASE Emissions, mt CO2e (net)</t>
  </si>
  <si>
    <t>HP EFF Emissions, mt CO2e (net)</t>
  </si>
  <si>
    <t>KWh HP BASE, net (eliminated)</t>
  </si>
  <si>
    <t>kWh HP EFF, net</t>
  </si>
  <si>
    <t>kWH Consumed by HP BASE</t>
  </si>
  <si>
    <t>$/kWh for HP BASE</t>
  </si>
  <si>
    <t>$/kWh for HP EFF</t>
  </si>
  <si>
    <t>Baseline HP Efficiency</t>
  </si>
  <si>
    <t>Zone 1 Baseline HP Capacity (output)</t>
  </si>
  <si>
    <t>Zone 2 Baseline HP Capacity (output)</t>
  </si>
  <si>
    <t>Zone 3 Baseline HP Capacity (output)</t>
  </si>
  <si>
    <t>Zone 1 Baseline AC Capacity (output)</t>
  </si>
  <si>
    <t>Zone 2 Baseline AC Capacity (output)</t>
  </si>
  <si>
    <t>Zone 3 Baseline AC Capacity (output)</t>
  </si>
  <si>
    <t>Baseline AC Efficiency</t>
  </si>
  <si>
    <t>EER</t>
  </si>
  <si>
    <t>AC Baseline</t>
  </si>
  <si>
    <t>Less Efficient HP Baseline</t>
  </si>
  <si>
    <t>HP Performance</t>
  </si>
  <si>
    <t>Scenario 2</t>
  </si>
  <si>
    <t>Scenario 1</t>
  </si>
  <si>
    <t>Electric Air Source HP</t>
  </si>
  <si>
    <t>EFLH Cool HP</t>
  </si>
  <si>
    <t>EFLH Cool AC</t>
  </si>
  <si>
    <t xml:space="preserve">Scenario 1 </t>
  </si>
  <si>
    <t>AC to HP</t>
  </si>
  <si>
    <t>HP to HP</t>
  </si>
  <si>
    <t>EFLH (Existing System)</t>
  </si>
  <si>
    <t>Existing Electric emissions, mt CO2</t>
  </si>
  <si>
    <t>Cost of kWh ($) in Existing</t>
  </si>
  <si>
    <t>Cost of kWh ($) in Performance</t>
  </si>
  <si>
    <t>kWh Saved</t>
  </si>
  <si>
    <t>Emissions Reduced (mt CO2e)</t>
  </si>
  <si>
    <t>Net Emissions (mt CO2e)</t>
  </si>
  <si>
    <t xml:space="preserve">Deemed Heating Energy Savings - Partial Replacement </t>
  </si>
  <si>
    <t>Deemed Cooling Energy Savings</t>
  </si>
  <si>
    <t xml:space="preserve">Deemed Heating Emissions Savings (mt CO2e) - Partial Replacement </t>
  </si>
  <si>
    <t>Emissions Added</t>
  </si>
  <si>
    <t>Net Emissions Saved</t>
  </si>
  <si>
    <t>AC Btuh_out/12,000 Btu/ton x EFLHCOOL(AC) x 12 / SEER Base</t>
  </si>
  <si>
    <t xml:space="preserve"> - HP Btuh_out/12,000 Btu/ton x EFLHCOOL(HP) x 12 / SEER EFF</t>
  </si>
  <si>
    <t>HP BASE Btuh_out/12,000 Btu/ton x EFLHCOOL(HP) x 12 / SEER Base</t>
  </si>
  <si>
    <t xml:space="preserve"> - HP EFF Btuh_out/12,000 Btu/ton x EFLHCOOL(HP) x 12 / SEER EFF</t>
  </si>
  <si>
    <t xml:space="preserve">Net kWh </t>
  </si>
  <si>
    <t>Net MMBTU</t>
  </si>
  <si>
    <t>Set equal to HP output kbtu</t>
  </si>
  <si>
    <t>Emissions Avoided</t>
  </si>
  <si>
    <t>kW Demand Savings</t>
  </si>
  <si>
    <t>CF Single Speed</t>
  </si>
  <si>
    <t>CF Variable Speed</t>
  </si>
  <si>
    <t>Space Temp Setpoint</t>
  </si>
  <si>
    <t>Avg Home sqft</t>
  </si>
  <si>
    <t>Heating Load, Btu/hr</t>
  </si>
  <si>
    <t>Bin Model (hours averaged across weather stations)</t>
  </si>
  <si>
    <t>% served by original fuel system</t>
  </si>
  <si>
    <t>Switchover</t>
  </si>
  <si>
    <t>Total Heat Btu</t>
  </si>
  <si>
    <t>Total Airflow, CFM</t>
  </si>
  <si>
    <t>Elec Resist Emissions, mt CO2e (net)</t>
  </si>
  <si>
    <t>Fuel Oil Furnace Baseline</t>
  </si>
  <si>
    <t>*Zone 3 Adjusted based on Zone 1 and 2 data, scaled by HDD.  Suspect most zone 3 homes used ASHP for partial load with higher switch over temperatures, adjustment better models a full replacement scenario</t>
  </si>
  <si>
    <t>largely found size in EFLH study, and equates to equal delivered heating load as existing furnace</t>
  </si>
  <si>
    <t>OAT low</t>
  </si>
  <si>
    <t>OAT high</t>
  </si>
  <si>
    <t>Good</t>
  </si>
  <si>
    <t>Better</t>
  </si>
  <si>
    <t>Best</t>
  </si>
  <si>
    <t>measured</t>
  </si>
  <si>
    <t>Derating Seasonal COPs based on field performance of variable speed ccASHP</t>
  </si>
  <si>
    <t>Percent of max rated efficiency at OSA temperature</t>
  </si>
  <si>
    <t>OAT temperature</t>
  </si>
  <si>
    <t>Full Replacement</t>
  </si>
  <si>
    <t>(Complete Replacement)</t>
  </si>
  <si>
    <t>Wood Pellet Stove</t>
  </si>
  <si>
    <t>% of Load by Bin</t>
  </si>
  <si>
    <t>Averaged</t>
  </si>
  <si>
    <t>NOAA Actuals 2005-2021 Typical Year</t>
  </si>
  <si>
    <t>HSPF Rated (@47 Degreed F)</t>
  </si>
  <si>
    <t>Switchover Temp Selection</t>
  </si>
  <si>
    <t>Derated HSPF %</t>
  </si>
  <si>
    <t>Switchover temperature selection:</t>
  </si>
  <si>
    <t xml:space="preserve">Zone 1  </t>
  </si>
  <si>
    <t>Tota Heat BTU at bin</t>
  </si>
  <si>
    <t>% of Total Heat at Bin</t>
  </si>
  <si>
    <t>Total ASHP provided Heat BTU by switch over temperature</t>
  </si>
  <si>
    <t>Weighted HSPF Derating %</t>
  </si>
  <si>
    <t>Linked to Heating Tab</t>
  </si>
  <si>
    <t>For V Lookup:</t>
  </si>
  <si>
    <t>HSPF Derated % based on switch over temperature</t>
  </si>
  <si>
    <t>Effective HSPF based on switch over temperature</t>
  </si>
  <si>
    <t>Center for Energy and Environment ASHP field findings: COP is 15 to 35% less than HSPF/3.412</t>
  </si>
  <si>
    <t>Basedon Center for Energy and Environment field study findings on ASHP performance at different switch over temperature settings</t>
  </si>
  <si>
    <t>from heating tab</t>
  </si>
  <si>
    <t>Variable inputs - require user entry</t>
  </si>
  <si>
    <t xml:space="preserve">Static inputs </t>
  </si>
  <si>
    <t>Calculated values (also white cells)</t>
  </si>
  <si>
    <t>Still need to set the switchover temperature to lowest setting to calculate HSPF efficiency correctly</t>
  </si>
  <si>
    <r>
      <t xml:space="preserve">Heat Pump EFLH 
</t>
    </r>
    <r>
      <rPr>
        <i/>
        <sz val="11"/>
        <color theme="1"/>
        <rFont val="Calibri"/>
        <family val="2"/>
        <scheme val="minor"/>
      </rPr>
      <t>(for AC to HP Comparison, set equal to the AC EFLH so that efficiency is the only differentiating metric)</t>
    </r>
  </si>
  <si>
    <r>
      <rPr>
        <sz val="11"/>
        <color rgb="FFFF0000"/>
        <rFont val="Calibri"/>
        <family val="2"/>
        <scheme val="minor"/>
      </rPr>
      <t>Output</t>
    </r>
    <r>
      <rPr>
        <sz val="11"/>
        <color theme="1"/>
        <rFont val="Calibri"/>
        <family val="2"/>
        <scheme val="minor"/>
      </rPr>
      <t xml:space="preserve"> capacity, Btu/hr
</t>
    </r>
    <r>
      <rPr>
        <i/>
        <sz val="11"/>
        <color theme="1"/>
        <rFont val="Calibri"/>
        <family val="2"/>
        <scheme val="minor"/>
      </rPr>
      <t>(for AC to HP Comparison, set equal to the AC capacity so that efficiency is the only differentiating metric)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</si>
</sst>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4" formatCode="_(&quot;$&quot;* #,##0.00_);_(&quot;$&quot;* \(#,##0.00\);_(&quot;$&quot;* &quot;-&quot;??_);_(@_)"/>
    <numFmt numFmtId="43" formatCode="_(* #,##0.00_);_(* \(#,##0.00\);_(* &quot;-&quot;??_);_(@_)"/>
    <numFmt numFmtId="164" formatCode="_-* #,##0.00_-;\-* #,##0.00_-;_-* &quot;-&quot;??_-;_-@_-"/>
    <numFmt numFmtId="165" formatCode="&quot;$&quot;#,##0"/>
    <numFmt numFmtId="166" formatCode="&quot;$&quot;#,##0.00"/>
    <numFmt numFmtId="167" formatCode="0.0%"/>
    <numFmt numFmtId="168" formatCode="_(* #,##0.000000_);_(* \(#,##0.000000\);_(* &quot;-&quot;??_);_(@_)"/>
    <numFmt numFmtId="169" formatCode="_(* #,##0.0_);_(* \(#,##0.0\);_(* &quot;-&quot;??_);_(@_)"/>
    <numFmt numFmtId="170" formatCode="_(* #,##0_);_(* \(#,##0\);_(* &quot;-&quot;??_);_(@_)"/>
    <numFmt numFmtId="171" formatCode="_(&quot;$&quot;* #,##0_);_(&quot;$&quot;* \(#,##0\);_(&quot;$&quot;* &quot;-&quot;??_);_(@_)"/>
    <numFmt numFmtId="172" formatCode="#,##0.0"/>
    <numFmt numFmtId="173" formatCode="_(* #,##0.000000_);_(* \(#,##0.000000\);_(* &quot;-&quot;??????_);_(@_)"/>
    <numFmt numFmtId="174" formatCode="_(* #,##0.000_);_(* \(#,##0.000\);_(* &quot;-&quot;??_);_(@_)"/>
  </numFmts>
  <fonts count="1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u/>
      <sz val="11"/>
      <color theme="10"/>
      <name val="Calibri"/>
      <family val="2"/>
      <scheme val="minor"/>
    </font>
    <font>
      <sz val="11"/>
      <name val="Calibri"/>
      <family val="2"/>
      <scheme val="minor"/>
    </font>
    <font>
      <sz val="11"/>
      <color rgb="FFFF0000"/>
      <name val="Calibri"/>
      <family val="2"/>
      <scheme val="minor"/>
    </font>
    <font>
      <b/>
      <sz val="11"/>
      <name val="Calibri"/>
      <family val="2"/>
      <scheme val="minor"/>
    </font>
    <font>
      <sz val="11"/>
      <color rgb="FF000000"/>
      <name val="Calibri"/>
      <family val="2"/>
    </font>
    <font>
      <sz val="10"/>
      <color rgb="FF000000"/>
      <name val="Arial"/>
      <family val="2"/>
    </font>
    <font>
      <i/>
      <sz val="11"/>
      <color theme="1"/>
      <name val="Calibri"/>
      <family val="2"/>
      <scheme val="minor"/>
    </font>
  </fonts>
  <fills count="19">
    <fill>
      <patternFill patternType="none"/>
    </fill>
    <fill>
      <patternFill patternType="gray125"/>
    </fill>
    <fill>
      <patternFill patternType="solid">
        <fgColor theme="4"/>
        <bgColor indexed="64"/>
      </patternFill>
    </fill>
    <fill>
      <patternFill patternType="solid">
        <fgColor rgb="FFFFFF0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D9D9D9"/>
        <bgColor indexed="64"/>
      </patternFill>
    </fill>
    <fill>
      <patternFill patternType="solid">
        <fgColor theme="5" tint="-0.249977111117893"/>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7030A0"/>
        <bgColor indexed="64"/>
      </patternFill>
    </fill>
    <fill>
      <patternFill patternType="solid">
        <fgColor theme="7" tint="-0.249977111117893"/>
        <bgColor indexed="64"/>
      </patternFill>
    </fill>
    <fill>
      <patternFill patternType="solid">
        <fgColor theme="2" tint="-0.249977111117893"/>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4" tint="0.59999389629810485"/>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rgb="FFD4D4D4"/>
      </left>
      <right style="medium">
        <color rgb="FFD4D4D4"/>
      </right>
      <top style="medium">
        <color rgb="FFD4D4D4"/>
      </top>
      <bottom style="medium">
        <color rgb="FFD4D4D4"/>
      </bottom>
      <diagonal/>
    </border>
    <border>
      <left/>
      <right style="medium">
        <color rgb="FFD4D4D4"/>
      </right>
      <top style="medium">
        <color rgb="FFD4D4D4"/>
      </top>
      <bottom style="medium">
        <color rgb="FFD4D4D4"/>
      </bottom>
      <diagonal/>
    </border>
    <border>
      <left style="medium">
        <color rgb="FFD4D4D4"/>
      </left>
      <right style="medium">
        <color rgb="FFD4D4D4"/>
      </right>
      <top/>
      <bottom style="medium">
        <color rgb="FFD4D4D4"/>
      </bottom>
      <diagonal/>
    </border>
    <border>
      <left/>
      <right style="medium">
        <color rgb="FFD4D4D4"/>
      </right>
      <top/>
      <bottom style="medium">
        <color rgb="FFD4D4D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5">
    <xf numFmtId="0" fontId="0" fillId="0" borderId="0"/>
    <xf numFmtId="9" fontId="1" fillId="0" borderId="0" applyFont="0" applyFill="0" applyBorder="0" applyAlignment="0" applyProtection="0"/>
    <xf numFmtId="0" fontId="4" fillId="0" borderId="0" applyNumberForma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51">
    <xf numFmtId="0" fontId="0" fillId="0" borderId="0" xfId="0"/>
    <xf numFmtId="0" fontId="0" fillId="0" borderId="1" xfId="0" applyBorder="1"/>
    <xf numFmtId="0" fontId="2" fillId="2" borderId="1" xfId="0" applyFont="1" applyFill="1" applyBorder="1" applyAlignment="1">
      <alignment vertical="center" wrapText="1"/>
    </xf>
    <xf numFmtId="0" fontId="3" fillId="0" borderId="1" xfId="0" applyFont="1" applyBorder="1" applyAlignment="1">
      <alignment vertical="center" wrapText="1"/>
    </xf>
    <xf numFmtId="165" fontId="3" fillId="0" borderId="1" xfId="1" applyNumberFormat="1" applyFont="1" applyBorder="1" applyAlignment="1">
      <alignment vertical="center" wrapText="1"/>
    </xf>
    <xf numFmtId="0" fontId="3" fillId="0" borderId="0" xfId="0" applyFont="1"/>
    <xf numFmtId="0" fontId="3" fillId="0" borderId="1" xfId="0" applyFont="1" applyBorder="1" applyAlignment="1">
      <alignment vertical="center"/>
    </xf>
    <xf numFmtId="165" fontId="0" fillId="0" borderId="2" xfId="0" applyNumberFormat="1" applyBorder="1"/>
    <xf numFmtId="165" fontId="0" fillId="0" borderId="0" xfId="0" applyNumberFormat="1"/>
    <xf numFmtId="166" fontId="0" fillId="0" borderId="0" xfId="0" applyNumberFormat="1"/>
    <xf numFmtId="0" fontId="4" fillId="0" borderId="0" xfId="2"/>
    <xf numFmtId="1" fontId="0" fillId="0" borderId="1" xfId="0" applyNumberFormat="1" applyBorder="1"/>
    <xf numFmtId="9" fontId="0" fillId="0" borderId="1" xfId="1" applyFont="1" applyBorder="1"/>
    <xf numFmtId="0" fontId="0" fillId="4" borderId="1" xfId="0" applyFill="1" applyBorder="1"/>
    <xf numFmtId="1" fontId="0" fillId="4" borderId="1" xfId="0" applyNumberFormat="1" applyFill="1" applyBorder="1"/>
    <xf numFmtId="0" fontId="2" fillId="2" borderId="1" xfId="0" applyFont="1" applyFill="1" applyBorder="1"/>
    <xf numFmtId="0" fontId="2" fillId="2" borderId="1" xfId="0" applyFont="1" applyFill="1" applyBorder="1" applyAlignment="1">
      <alignment vertical="center"/>
    </xf>
    <xf numFmtId="0" fontId="3" fillId="0" borderId="1" xfId="0" applyFont="1" applyBorder="1"/>
    <xf numFmtId="3" fontId="0" fillId="3" borderId="1" xfId="0" applyNumberFormat="1" applyFill="1" applyBorder="1"/>
    <xf numFmtId="9" fontId="0" fillId="0" borderId="0" xfId="1" applyFont="1"/>
    <xf numFmtId="0" fontId="2" fillId="2" borderId="1" xfId="0" applyFont="1" applyFill="1" applyBorder="1" applyAlignment="1">
      <alignment wrapText="1"/>
    </xf>
    <xf numFmtId="0" fontId="2" fillId="2" borderId="2" xfId="0" applyFont="1" applyFill="1" applyBorder="1"/>
    <xf numFmtId="0" fontId="2" fillId="2" borderId="10" xfId="0" applyFont="1" applyFill="1" applyBorder="1"/>
    <xf numFmtId="0" fontId="3" fillId="0" borderId="15" xfId="0" applyFont="1"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4" fillId="0" borderId="1" xfId="2" applyBorder="1"/>
    <xf numFmtId="0" fontId="0" fillId="0" borderId="1" xfId="0" applyBorder="1" applyAlignment="1">
      <alignment horizontal="left" vertical="center"/>
    </xf>
    <xf numFmtId="0" fontId="0" fillId="0" borderId="1" xfId="0" applyBorder="1" applyAlignment="1">
      <alignment horizontal="left" vertical="center" wrapText="1"/>
    </xf>
    <xf numFmtId="0" fontId="5" fillId="3" borderId="14" xfId="0" applyFont="1" applyFill="1" applyBorder="1"/>
    <xf numFmtId="0" fontId="0" fillId="0" borderId="1" xfId="0" applyBorder="1" applyAlignment="1">
      <alignment horizontal="center" vertical="center" wrapText="1"/>
    </xf>
    <xf numFmtId="0" fontId="5" fillId="4" borderId="14" xfId="0" applyFont="1" applyFill="1" applyBorder="1"/>
    <xf numFmtId="0" fontId="5" fillId="5" borderId="14" xfId="0" applyFont="1" applyFill="1" applyBorder="1"/>
    <xf numFmtId="167" fontId="0" fillId="5" borderId="1" xfId="0" applyNumberFormat="1" applyFill="1" applyBorder="1"/>
    <xf numFmtId="3" fontId="0" fillId="4" borderId="1" xfId="0" applyNumberFormat="1" applyFill="1" applyBorder="1"/>
    <xf numFmtId="9" fontId="0" fillId="5" borderId="1" xfId="1" applyFont="1" applyFill="1" applyBorder="1"/>
    <xf numFmtId="3" fontId="5" fillId="5" borderId="1" xfId="0" applyNumberFormat="1" applyFont="1" applyFill="1" applyBorder="1"/>
    <xf numFmtId="1" fontId="3" fillId="5" borderId="1" xfId="0" applyNumberFormat="1" applyFont="1" applyFill="1" applyBorder="1"/>
    <xf numFmtId="1" fontId="0" fillId="5" borderId="1" xfId="0" applyNumberFormat="1" applyFill="1" applyBorder="1"/>
    <xf numFmtId="0" fontId="0" fillId="5" borderId="1" xfId="0" applyFill="1" applyBorder="1"/>
    <xf numFmtId="3" fontId="0" fillId="5" borderId="1" xfId="0" applyNumberFormat="1" applyFill="1" applyBorder="1"/>
    <xf numFmtId="0" fontId="0" fillId="0" borderId="0" xfId="0" quotePrefix="1"/>
    <xf numFmtId="0" fontId="0" fillId="0" borderId="21" xfId="0" quotePrefix="1" applyBorder="1"/>
    <xf numFmtId="0" fontId="2" fillId="2" borderId="2" xfId="0" applyFont="1" applyFill="1" applyBorder="1" applyAlignment="1">
      <alignment vertical="center"/>
    </xf>
    <xf numFmtId="0" fontId="2" fillId="2" borderId="2" xfId="0" applyFont="1" applyFill="1" applyBorder="1" applyAlignment="1">
      <alignment vertical="center" wrapText="1"/>
    </xf>
    <xf numFmtId="0" fontId="2" fillId="0" borderId="0" xfId="0" applyFont="1" applyAlignment="1">
      <alignment vertical="center"/>
    </xf>
    <xf numFmtId="9" fontId="0" fillId="0" borderId="0" xfId="1" applyFont="1" applyFill="1" applyBorder="1"/>
    <xf numFmtId="0" fontId="2" fillId="2" borderId="5" xfId="0" applyFont="1" applyFill="1" applyBorder="1" applyAlignment="1">
      <alignment vertical="center" wrapText="1"/>
    </xf>
    <xf numFmtId="0" fontId="0" fillId="0" borderId="1" xfId="0" applyBorder="1" applyAlignment="1">
      <alignment horizontal="right"/>
    </xf>
    <xf numFmtId="167" fontId="0" fillId="0" borderId="1" xfId="0" applyNumberFormat="1" applyBorder="1" applyAlignment="1">
      <alignment horizontal="right"/>
    </xf>
    <xf numFmtId="9" fontId="0" fillId="0" borderId="1" xfId="1" applyFont="1" applyBorder="1" applyAlignment="1">
      <alignment horizontal="right"/>
    </xf>
    <xf numFmtId="168" fontId="0" fillId="4" borderId="1" xfId="3" applyNumberFormat="1" applyFont="1" applyFill="1" applyBorder="1" applyAlignment="1">
      <alignment vertical="center" wrapText="1"/>
    </xf>
    <xf numFmtId="168" fontId="0" fillId="4" borderId="1" xfId="3" applyNumberFormat="1" applyFont="1" applyFill="1" applyBorder="1" applyAlignment="1">
      <alignment horizontal="center" vertical="center" wrapText="1"/>
    </xf>
    <xf numFmtId="169" fontId="0" fillId="0" borderId="1" xfId="3" applyNumberFormat="1" applyFont="1" applyBorder="1"/>
    <xf numFmtId="170" fontId="3" fillId="0" borderId="1" xfId="3" applyNumberFormat="1" applyFont="1" applyBorder="1"/>
    <xf numFmtId="170" fontId="0" fillId="0" borderId="1" xfId="3" applyNumberFormat="1" applyFont="1" applyBorder="1"/>
    <xf numFmtId="171" fontId="0" fillId="0" borderId="1" xfId="4" applyNumberFormat="1" applyFont="1" applyBorder="1"/>
    <xf numFmtId="171" fontId="0" fillId="0" borderId="1" xfId="0" applyNumberFormat="1" applyBorder="1"/>
    <xf numFmtId="170" fontId="3" fillId="0" borderId="1" xfId="3" applyNumberFormat="1" applyFont="1" applyFill="1" applyBorder="1"/>
    <xf numFmtId="9" fontId="0" fillId="0" borderId="1" xfId="1" applyFont="1" applyFill="1" applyBorder="1"/>
    <xf numFmtId="170" fontId="0" fillId="0" borderId="1" xfId="3" applyNumberFormat="1" applyFont="1" applyFill="1" applyBorder="1"/>
    <xf numFmtId="171" fontId="0" fillId="0" borderId="1" xfId="4" applyNumberFormat="1" applyFont="1" applyFill="1" applyBorder="1"/>
    <xf numFmtId="169" fontId="0" fillId="0" borderId="1" xfId="0" applyNumberFormat="1" applyBorder="1"/>
    <xf numFmtId="172" fontId="0" fillId="0" borderId="1" xfId="0" applyNumberFormat="1" applyBorder="1"/>
    <xf numFmtId="170" fontId="0" fillId="0" borderId="1" xfId="0" applyNumberFormat="1" applyBorder="1"/>
    <xf numFmtId="43" fontId="0" fillId="0" borderId="1" xfId="0" applyNumberFormat="1" applyBorder="1"/>
    <xf numFmtId="166" fontId="0" fillId="4" borderId="1" xfId="0" applyNumberFormat="1" applyFill="1" applyBorder="1"/>
    <xf numFmtId="170" fontId="1" fillId="0" borderId="1" xfId="3" applyNumberFormat="1" applyFont="1" applyFill="1" applyBorder="1"/>
    <xf numFmtId="0" fontId="0" fillId="0" borderId="0" xfId="0" applyFill="1"/>
    <xf numFmtId="0" fontId="2" fillId="2" borderId="23" xfId="0" applyFont="1" applyFill="1" applyBorder="1" applyAlignment="1">
      <alignment horizontal="center"/>
    </xf>
    <xf numFmtId="3" fontId="7" fillId="5" borderId="1" xfId="0" applyNumberFormat="1" applyFont="1" applyFill="1" applyBorder="1"/>
    <xf numFmtId="0" fontId="0" fillId="0" borderId="0" xfId="0" applyFill="1" applyBorder="1"/>
    <xf numFmtId="170" fontId="0" fillId="0" borderId="0" xfId="0" applyNumberFormat="1" applyFill="1" applyBorder="1"/>
    <xf numFmtId="43" fontId="0" fillId="0" borderId="0" xfId="3" applyFont="1" applyFill="1" applyBorder="1"/>
    <xf numFmtId="0" fontId="3" fillId="0" borderId="0" xfId="0" applyFont="1" applyFill="1" applyBorder="1"/>
    <xf numFmtId="44" fontId="0" fillId="0" borderId="0" xfId="4" applyFont="1" applyFill="1" applyBorder="1"/>
    <xf numFmtId="0" fontId="0" fillId="0" borderId="4" xfId="0" applyFill="1" applyBorder="1"/>
    <xf numFmtId="0" fontId="0" fillId="9" borderId="1" xfId="0" applyFill="1" applyBorder="1" applyAlignment="1">
      <alignment horizontal="center"/>
    </xf>
    <xf numFmtId="0" fontId="0" fillId="10" borderId="1" xfId="0" applyFill="1" applyBorder="1" applyAlignment="1">
      <alignment horizontal="center"/>
    </xf>
    <xf numFmtId="0" fontId="0" fillId="6" borderId="1" xfId="0" applyFill="1" applyBorder="1" applyAlignment="1">
      <alignment horizontal="center"/>
    </xf>
    <xf numFmtId="0" fontId="0" fillId="9" borderId="26" xfId="0" applyFill="1" applyBorder="1" applyAlignment="1">
      <alignment horizontal="center"/>
    </xf>
    <xf numFmtId="0" fontId="0" fillId="6" borderId="27" xfId="0" applyFill="1" applyBorder="1" applyAlignment="1">
      <alignment horizontal="center"/>
    </xf>
    <xf numFmtId="3" fontId="0" fillId="3" borderId="26" xfId="0" applyNumberFormat="1" applyFill="1" applyBorder="1"/>
    <xf numFmtId="1" fontId="0" fillId="5" borderId="26" xfId="0" applyNumberFormat="1" applyFill="1" applyBorder="1"/>
    <xf numFmtId="1" fontId="0" fillId="5" borderId="27" xfId="0" applyNumberFormat="1" applyFill="1" applyBorder="1"/>
    <xf numFmtId="3" fontId="0" fillId="5" borderId="26" xfId="0" applyNumberFormat="1" applyFill="1" applyBorder="1"/>
    <xf numFmtId="3" fontId="0" fillId="5" borderId="27" xfId="0" applyNumberFormat="1" applyFill="1" applyBorder="1"/>
    <xf numFmtId="170" fontId="3" fillId="0" borderId="26" xfId="3" applyNumberFormat="1" applyFont="1" applyBorder="1"/>
    <xf numFmtId="170" fontId="3" fillId="0" borderId="27" xfId="3" applyNumberFormat="1" applyFont="1" applyBorder="1"/>
    <xf numFmtId="0" fontId="0" fillId="0" borderId="26" xfId="0" applyBorder="1" applyAlignment="1">
      <alignment horizontal="right"/>
    </xf>
    <xf numFmtId="167" fontId="0" fillId="0" borderId="27" xfId="0" applyNumberFormat="1" applyBorder="1" applyAlignment="1">
      <alignment horizontal="right"/>
    </xf>
    <xf numFmtId="9" fontId="0" fillId="0" borderId="26" xfId="1" applyFont="1" applyBorder="1" applyAlignment="1">
      <alignment horizontal="right"/>
    </xf>
    <xf numFmtId="170" fontId="0" fillId="0" borderId="27" xfId="3" applyNumberFormat="1" applyFont="1" applyBorder="1"/>
    <xf numFmtId="0" fontId="0" fillId="0" borderId="27" xfId="0" applyBorder="1"/>
    <xf numFmtId="166" fontId="0" fillId="4" borderId="26" xfId="0" applyNumberFormat="1" applyFill="1" applyBorder="1"/>
    <xf numFmtId="166" fontId="0" fillId="4" borderId="27" xfId="0" applyNumberFormat="1" applyFill="1" applyBorder="1"/>
    <xf numFmtId="171" fontId="0" fillId="0" borderId="26" xfId="4" applyNumberFormat="1" applyFont="1" applyBorder="1"/>
    <xf numFmtId="171" fontId="0" fillId="0" borderId="27" xfId="4" applyNumberFormat="1" applyFont="1" applyBorder="1"/>
    <xf numFmtId="171" fontId="0" fillId="0" borderId="26" xfId="0" applyNumberFormat="1" applyBorder="1"/>
    <xf numFmtId="171" fontId="0" fillId="0" borderId="27" xfId="0" applyNumberFormat="1" applyBorder="1"/>
    <xf numFmtId="169" fontId="0" fillId="0" borderId="26" xfId="3" applyNumberFormat="1" applyFont="1" applyBorder="1"/>
    <xf numFmtId="169" fontId="0" fillId="0" borderId="27" xfId="3" applyNumberFormat="1" applyFont="1" applyBorder="1"/>
    <xf numFmtId="169" fontId="0" fillId="0" borderId="26" xfId="0" applyNumberFormat="1" applyBorder="1"/>
    <xf numFmtId="169" fontId="0" fillId="0" borderId="27" xfId="0" applyNumberFormat="1" applyBorder="1"/>
    <xf numFmtId="170" fontId="1" fillId="0" borderId="26" xfId="3" applyNumberFormat="1" applyFont="1" applyFill="1" applyBorder="1"/>
    <xf numFmtId="170" fontId="1" fillId="0" borderId="27" xfId="3" applyNumberFormat="1" applyFont="1" applyFill="1" applyBorder="1"/>
    <xf numFmtId="170" fontId="3" fillId="0" borderId="26" xfId="3" applyNumberFormat="1" applyFont="1" applyFill="1" applyBorder="1"/>
    <xf numFmtId="170" fontId="3" fillId="0" borderId="27" xfId="3" applyNumberFormat="1" applyFont="1" applyFill="1" applyBorder="1"/>
    <xf numFmtId="9" fontId="0" fillId="0" borderId="26" xfId="1" applyFont="1" applyFill="1" applyBorder="1"/>
    <xf numFmtId="9" fontId="0" fillId="0" borderId="27" xfId="1" applyFont="1" applyFill="1" applyBorder="1"/>
    <xf numFmtId="170" fontId="0" fillId="0" borderId="27" xfId="3" applyNumberFormat="1" applyFont="1" applyFill="1" applyBorder="1"/>
    <xf numFmtId="171" fontId="0" fillId="0" borderId="26" xfId="4" applyNumberFormat="1" applyFont="1" applyFill="1" applyBorder="1"/>
    <xf numFmtId="171" fontId="0" fillId="0" borderId="27" xfId="4" applyNumberFormat="1" applyFont="1" applyFill="1" applyBorder="1"/>
    <xf numFmtId="172" fontId="0" fillId="0" borderId="26" xfId="0" applyNumberFormat="1" applyBorder="1"/>
    <xf numFmtId="172" fontId="0" fillId="0" borderId="27" xfId="0" applyNumberFormat="1" applyBorder="1"/>
    <xf numFmtId="170" fontId="0" fillId="0" borderId="26" xfId="0" applyNumberFormat="1" applyBorder="1"/>
    <xf numFmtId="170" fontId="0" fillId="0" borderId="27" xfId="0" applyNumberFormat="1" applyBorder="1"/>
    <xf numFmtId="43" fontId="0" fillId="0" borderId="26" xfId="0" applyNumberFormat="1" applyBorder="1"/>
    <xf numFmtId="43" fontId="0" fillId="0" borderId="27" xfId="0" applyNumberFormat="1" applyBorder="1"/>
    <xf numFmtId="0" fontId="2" fillId="2" borderId="25" xfId="0" applyFont="1" applyFill="1" applyBorder="1" applyAlignment="1">
      <alignment horizontal="center" vertical="center"/>
    </xf>
    <xf numFmtId="0" fontId="0" fillId="6" borderId="30" xfId="0" applyFill="1" applyBorder="1" applyAlignment="1">
      <alignment horizontal="center" vertical="center" wrapText="1"/>
    </xf>
    <xf numFmtId="0" fontId="0" fillId="6" borderId="31" xfId="0" applyFill="1" applyBorder="1" applyAlignment="1">
      <alignment horizontal="center" vertical="center" wrapText="1"/>
    </xf>
    <xf numFmtId="0" fontId="0" fillId="0" borderId="28" xfId="0" applyBorder="1"/>
    <xf numFmtId="0" fontId="3" fillId="4" borderId="28" xfId="0" applyFont="1" applyFill="1" applyBorder="1"/>
    <xf numFmtId="0" fontId="0" fillId="0" borderId="28" xfId="0" applyBorder="1" applyAlignment="1">
      <alignment wrapText="1"/>
    </xf>
    <xf numFmtId="0" fontId="3" fillId="4" borderId="18" xfId="0" applyFont="1" applyFill="1" applyBorder="1"/>
    <xf numFmtId="0" fontId="0" fillId="0" borderId="29" xfId="0" applyBorder="1"/>
    <xf numFmtId="43" fontId="0" fillId="0" borderId="33" xfId="3" applyFont="1" applyBorder="1"/>
    <xf numFmtId="43" fontId="0" fillId="0" borderId="34" xfId="3" applyFont="1" applyBorder="1"/>
    <xf numFmtId="0" fontId="2" fillId="11" borderId="16" xfId="0" applyFont="1" applyFill="1" applyBorder="1" applyAlignment="1"/>
    <xf numFmtId="0" fontId="2" fillId="8" borderId="16" xfId="0" applyFont="1" applyFill="1" applyBorder="1" applyAlignment="1"/>
    <xf numFmtId="0" fontId="2" fillId="8" borderId="17" xfId="0" applyFont="1" applyFill="1" applyBorder="1" applyAlignment="1"/>
    <xf numFmtId="0" fontId="2" fillId="2" borderId="35" xfId="0" applyFont="1" applyFill="1" applyBorder="1" applyAlignment="1">
      <alignment horizontal="center" vertical="center"/>
    </xf>
    <xf numFmtId="0" fontId="0" fillId="0" borderId="36" xfId="0" applyBorder="1"/>
    <xf numFmtId="0" fontId="3" fillId="4" borderId="36" xfId="0" applyFont="1" applyFill="1" applyBorder="1"/>
    <xf numFmtId="0" fontId="0" fillId="0" borderId="37" xfId="0" applyBorder="1"/>
    <xf numFmtId="0" fontId="0" fillId="0" borderId="36" xfId="0" applyBorder="1" applyAlignment="1">
      <alignment wrapText="1"/>
    </xf>
    <xf numFmtId="0" fontId="3" fillId="4" borderId="37" xfId="0" applyFont="1" applyFill="1" applyBorder="1"/>
    <xf numFmtId="0" fontId="2" fillId="0" borderId="0" xfId="0" applyFont="1" applyFill="1" applyBorder="1" applyAlignment="1"/>
    <xf numFmtId="0" fontId="0" fillId="0" borderId="0" xfId="0" applyFill="1" applyBorder="1" applyAlignment="1">
      <alignment horizontal="center" vertical="center" wrapText="1"/>
    </xf>
    <xf numFmtId="0" fontId="0" fillId="0" borderId="0" xfId="0" applyFill="1" applyBorder="1" applyAlignment="1">
      <alignment horizontal="center"/>
    </xf>
    <xf numFmtId="0" fontId="3" fillId="0" borderId="0" xfId="0" applyFont="1" applyFill="1" applyBorder="1" applyAlignment="1">
      <alignment horizontal="center"/>
    </xf>
    <xf numFmtId="3" fontId="0" fillId="0" borderId="0" xfId="0" applyNumberFormat="1" applyFill="1" applyBorder="1"/>
    <xf numFmtId="1" fontId="0" fillId="0" borderId="0" xfId="0" applyNumberFormat="1" applyFill="1" applyBorder="1"/>
    <xf numFmtId="170" fontId="3" fillId="0" borderId="0" xfId="3" applyNumberFormat="1" applyFont="1" applyFill="1" applyBorder="1"/>
    <xf numFmtId="167" fontId="0" fillId="0" borderId="0" xfId="0" applyNumberFormat="1" applyFill="1" applyBorder="1" applyAlignment="1">
      <alignment horizontal="right"/>
    </xf>
    <xf numFmtId="9" fontId="0" fillId="0" borderId="0" xfId="0" applyNumberFormat="1" applyFill="1" applyBorder="1"/>
    <xf numFmtId="170" fontId="0" fillId="0" borderId="0" xfId="3" applyNumberFormat="1" applyFont="1" applyFill="1" applyBorder="1"/>
    <xf numFmtId="166" fontId="0" fillId="0" borderId="0" xfId="0" applyNumberFormat="1" applyFill="1" applyBorder="1"/>
    <xf numFmtId="171" fontId="0" fillId="0" borderId="0" xfId="4" applyNumberFormat="1" applyFont="1" applyFill="1" applyBorder="1"/>
    <xf numFmtId="171" fontId="0" fillId="0" borderId="0" xfId="0" applyNumberFormat="1" applyFill="1" applyBorder="1"/>
    <xf numFmtId="169" fontId="0" fillId="0" borderId="0" xfId="3" applyNumberFormat="1" applyFont="1" applyFill="1" applyBorder="1"/>
    <xf numFmtId="169" fontId="0" fillId="0" borderId="0" xfId="0" applyNumberFormat="1" applyFill="1" applyBorder="1"/>
    <xf numFmtId="170" fontId="1" fillId="0" borderId="0" xfId="3" applyNumberFormat="1" applyFont="1" applyFill="1" applyBorder="1"/>
    <xf numFmtId="172" fontId="0" fillId="0" borderId="0" xfId="0" applyNumberFormat="1" applyFill="1" applyBorder="1"/>
    <xf numFmtId="43" fontId="0" fillId="0" borderId="0" xfId="0" applyNumberFormat="1" applyFill="1" applyBorder="1"/>
    <xf numFmtId="44" fontId="0" fillId="0" borderId="1" xfId="4" applyFont="1" applyBorder="1"/>
    <xf numFmtId="0" fontId="0" fillId="0" borderId="5" xfId="0" applyFill="1" applyBorder="1"/>
    <xf numFmtId="0" fontId="0" fillId="0" borderId="1" xfId="0" applyFill="1" applyBorder="1"/>
    <xf numFmtId="9" fontId="0" fillId="0" borderId="2" xfId="1" applyFont="1" applyBorder="1"/>
    <xf numFmtId="173" fontId="0" fillId="7" borderId="12" xfId="0" applyNumberFormat="1" applyFill="1" applyBorder="1"/>
    <xf numFmtId="173" fontId="0" fillId="7" borderId="2" xfId="0" applyNumberFormat="1" applyFill="1" applyBorder="1"/>
    <xf numFmtId="0" fontId="0" fillId="0" borderId="3" xfId="0" applyBorder="1" applyAlignment="1">
      <alignment vertical="center"/>
    </xf>
    <xf numFmtId="0" fontId="0" fillId="0" borderId="5" xfId="0" applyBorder="1" applyAlignment="1">
      <alignment vertical="center"/>
    </xf>
    <xf numFmtId="0" fontId="0" fillId="0" borderId="0" xfId="0" applyBorder="1"/>
    <xf numFmtId="43" fontId="0" fillId="0" borderId="0" xfId="3" applyFont="1" applyBorder="1"/>
    <xf numFmtId="0" fontId="0" fillId="0" borderId="3" xfId="0" applyFill="1" applyBorder="1"/>
    <xf numFmtId="0" fontId="0" fillId="0" borderId="39" xfId="0" applyBorder="1"/>
    <xf numFmtId="44" fontId="0" fillId="0" borderId="40" xfId="4" applyFont="1" applyBorder="1"/>
    <xf numFmtId="0" fontId="2" fillId="12" borderId="16" xfId="0" applyFont="1" applyFill="1" applyBorder="1" applyAlignment="1"/>
    <xf numFmtId="0" fontId="2" fillId="12" borderId="17" xfId="0" applyFont="1" applyFill="1" applyBorder="1" applyAlignment="1"/>
    <xf numFmtId="0" fontId="2" fillId="13" borderId="16" xfId="0" applyFont="1" applyFill="1" applyBorder="1" applyAlignment="1"/>
    <xf numFmtId="0" fontId="2" fillId="13" borderId="17" xfId="0" applyFont="1" applyFill="1" applyBorder="1" applyAlignment="1"/>
    <xf numFmtId="0" fontId="2" fillId="14" borderId="16" xfId="0" applyFont="1" applyFill="1" applyBorder="1" applyAlignment="1"/>
    <xf numFmtId="0" fontId="2" fillId="14" borderId="17" xfId="0" applyFont="1" applyFill="1" applyBorder="1" applyAlignment="1"/>
    <xf numFmtId="0" fontId="0" fillId="0" borderId="0" xfId="0" applyAlignment="1">
      <alignment wrapText="1"/>
    </xf>
    <xf numFmtId="169" fontId="0" fillId="3" borderId="26" xfId="0" applyNumberFormat="1" applyFill="1" applyBorder="1"/>
    <xf numFmtId="44" fontId="0" fillId="0" borderId="41" xfId="0" applyNumberFormat="1" applyFont="1" applyFill="1" applyBorder="1"/>
    <xf numFmtId="0" fontId="2" fillId="2" borderId="15" xfId="0" applyFont="1" applyFill="1" applyBorder="1" applyAlignment="1"/>
    <xf numFmtId="0" fontId="2" fillId="2" borderId="16" xfId="0" applyFont="1" applyFill="1" applyBorder="1" applyAlignment="1"/>
    <xf numFmtId="0" fontId="2" fillId="2" borderId="17" xfId="0" applyFont="1" applyFill="1" applyBorder="1" applyAlignment="1"/>
    <xf numFmtId="170" fontId="0" fillId="0" borderId="0" xfId="0" applyNumberFormat="1"/>
    <xf numFmtId="170" fontId="0" fillId="0" borderId="0" xfId="0" applyNumberFormat="1" applyBorder="1"/>
    <xf numFmtId="0" fontId="0" fillId="0" borderId="9" xfId="0" applyBorder="1"/>
    <xf numFmtId="170" fontId="0" fillId="0" borderId="9" xfId="0" applyNumberFormat="1" applyBorder="1"/>
    <xf numFmtId="0" fontId="3" fillId="0" borderId="9" xfId="0" applyFont="1" applyBorder="1"/>
    <xf numFmtId="170" fontId="0" fillId="0" borderId="39" xfId="0" applyNumberFormat="1" applyBorder="1"/>
    <xf numFmtId="43" fontId="0" fillId="0" borderId="0" xfId="0" applyNumberFormat="1"/>
    <xf numFmtId="172" fontId="0" fillId="5" borderId="26" xfId="0" applyNumberFormat="1" applyFill="1" applyBorder="1"/>
    <xf numFmtId="169" fontId="0" fillId="3" borderId="1" xfId="0" applyNumberFormat="1" applyFill="1" applyBorder="1"/>
    <xf numFmtId="9" fontId="0" fillId="3" borderId="1" xfId="0" applyNumberFormat="1" applyFill="1" applyBorder="1"/>
    <xf numFmtId="43" fontId="0" fillId="0" borderId="0" xfId="3" applyFont="1"/>
    <xf numFmtId="170" fontId="0" fillId="0" borderId="26" xfId="3" applyNumberFormat="1" applyFont="1" applyBorder="1" applyAlignment="1">
      <alignment horizontal="right"/>
    </xf>
    <xf numFmtId="170" fontId="0" fillId="0" borderId="1" xfId="3" applyNumberFormat="1" applyFont="1" applyBorder="1" applyAlignment="1">
      <alignment horizontal="right"/>
    </xf>
    <xf numFmtId="170" fontId="0" fillId="0" borderId="27" xfId="3" applyNumberFormat="1" applyFont="1" applyBorder="1" applyAlignment="1">
      <alignment horizontal="right"/>
    </xf>
    <xf numFmtId="170" fontId="0" fillId="3" borderId="1" xfId="3" applyNumberFormat="1" applyFont="1" applyFill="1" applyBorder="1"/>
    <xf numFmtId="169" fontId="0" fillId="3" borderId="1" xfId="3" applyNumberFormat="1" applyFont="1" applyFill="1" applyBorder="1"/>
    <xf numFmtId="169" fontId="0" fillId="3" borderId="11" xfId="3" applyNumberFormat="1" applyFont="1" applyFill="1" applyBorder="1"/>
    <xf numFmtId="9" fontId="0" fillId="3" borderId="1" xfId="1" applyFont="1" applyFill="1" applyBorder="1"/>
    <xf numFmtId="9" fontId="0" fillId="3" borderId="11" xfId="1" applyFont="1" applyFill="1" applyBorder="1"/>
    <xf numFmtId="9" fontId="0" fillId="3" borderId="9" xfId="1" applyFont="1" applyFill="1" applyBorder="1"/>
    <xf numFmtId="44" fontId="3" fillId="3" borderId="1" xfId="4" applyNumberFormat="1" applyFont="1" applyFill="1" applyBorder="1"/>
    <xf numFmtId="44" fontId="3" fillId="3" borderId="1" xfId="4" applyFont="1" applyFill="1" applyBorder="1"/>
    <xf numFmtId="44" fontId="3" fillId="3" borderId="9" xfId="4" applyFont="1" applyFill="1" applyBorder="1"/>
    <xf numFmtId="44" fontId="3" fillId="3" borderId="13" xfId="0" applyNumberFormat="1" applyFont="1" applyFill="1" applyBorder="1"/>
    <xf numFmtId="44" fontId="3" fillId="3" borderId="0" xfId="4" applyFont="1" applyFill="1"/>
    <xf numFmtId="0" fontId="3" fillId="4" borderId="1" xfId="0" applyFont="1" applyFill="1" applyBorder="1" applyAlignment="1"/>
    <xf numFmtId="0" fontId="3" fillId="4" borderId="1" xfId="0" applyFont="1" applyFill="1" applyBorder="1" applyAlignment="1">
      <alignment horizontal="center"/>
    </xf>
    <xf numFmtId="43" fontId="0" fillId="0" borderId="1" xfId="3" applyFont="1" applyBorder="1"/>
    <xf numFmtId="0" fontId="3" fillId="4" borderId="26" xfId="0" applyFont="1" applyFill="1" applyBorder="1" applyAlignment="1">
      <alignment horizontal="center"/>
    </xf>
    <xf numFmtId="0" fontId="3" fillId="4" borderId="27" xfId="0" applyFont="1" applyFill="1" applyBorder="1" applyAlignment="1">
      <alignment horizontal="center"/>
    </xf>
    <xf numFmtId="3" fontId="0" fillId="3" borderId="27" xfId="0" applyNumberFormat="1" applyFill="1" applyBorder="1"/>
    <xf numFmtId="169" fontId="0" fillId="3" borderId="27" xfId="0" applyNumberFormat="1" applyFill="1" applyBorder="1"/>
    <xf numFmtId="9" fontId="0" fillId="3" borderId="27" xfId="0" applyNumberFormat="1" applyFill="1" applyBorder="1"/>
    <xf numFmtId="0" fontId="3" fillId="4" borderId="1" xfId="0" applyFont="1" applyFill="1" applyBorder="1" applyAlignment="1">
      <alignment horizontal="center"/>
    </xf>
    <xf numFmtId="9" fontId="0" fillId="3" borderId="27" xfId="1" applyFont="1" applyFill="1" applyBorder="1"/>
    <xf numFmtId="43" fontId="0" fillId="0" borderId="26" xfId="3" applyFont="1" applyBorder="1"/>
    <xf numFmtId="43" fontId="0" fillId="0" borderId="27" xfId="3" applyFont="1" applyBorder="1"/>
    <xf numFmtId="170" fontId="0" fillId="0" borderId="32" xfId="0" applyNumberFormat="1" applyBorder="1"/>
    <xf numFmtId="170" fontId="0" fillId="0" borderId="33" xfId="0" applyNumberFormat="1" applyBorder="1"/>
    <xf numFmtId="170" fontId="0" fillId="0" borderId="34" xfId="0" applyNumberFormat="1" applyBorder="1"/>
    <xf numFmtId="0" fontId="0" fillId="0" borderId="44" xfId="0" applyFill="1" applyBorder="1"/>
    <xf numFmtId="43" fontId="0" fillId="3" borderId="1" xfId="3" applyFont="1" applyFill="1" applyBorder="1"/>
    <xf numFmtId="43" fontId="0" fillId="3" borderId="26" xfId="3" applyFont="1" applyFill="1" applyBorder="1"/>
    <xf numFmtId="0" fontId="0" fillId="0" borderId="38" xfId="0" applyFill="1" applyBorder="1"/>
    <xf numFmtId="0" fontId="2" fillId="15" borderId="16" xfId="0" applyFont="1" applyFill="1" applyBorder="1" applyAlignment="1"/>
    <xf numFmtId="0" fontId="2" fillId="15" borderId="17" xfId="0" applyFont="1" applyFill="1" applyBorder="1" applyAlignment="1"/>
    <xf numFmtId="0" fontId="3" fillId="4" borderId="3" xfId="0" applyFont="1" applyFill="1" applyBorder="1" applyAlignment="1">
      <alignment horizontal="center"/>
    </xf>
    <xf numFmtId="172" fontId="0" fillId="0" borderId="0" xfId="0" applyNumberFormat="1" applyBorder="1"/>
    <xf numFmtId="171" fontId="0" fillId="0" borderId="0" xfId="0" applyNumberFormat="1" applyBorder="1"/>
    <xf numFmtId="43" fontId="0" fillId="0" borderId="0" xfId="0" applyNumberFormat="1" applyBorder="1"/>
    <xf numFmtId="0" fontId="3" fillId="4" borderId="26" xfId="0" applyFont="1" applyFill="1" applyBorder="1" applyAlignment="1"/>
    <xf numFmtId="0" fontId="3" fillId="4" borderId="27" xfId="0" applyFont="1" applyFill="1" applyBorder="1" applyAlignment="1"/>
    <xf numFmtId="43" fontId="1" fillId="0" borderId="32" xfId="3" applyFont="1" applyBorder="1"/>
    <xf numFmtId="43" fontId="1" fillId="0" borderId="33" xfId="3" applyFont="1" applyBorder="1"/>
    <xf numFmtId="43" fontId="1" fillId="0" borderId="34" xfId="3" applyFont="1" applyBorder="1"/>
    <xf numFmtId="0" fontId="3" fillId="4" borderId="45" xfId="0" applyFont="1" applyFill="1" applyBorder="1" applyAlignment="1">
      <alignment horizontal="center"/>
    </xf>
    <xf numFmtId="0" fontId="3" fillId="4" borderId="46" xfId="0" applyFont="1" applyFill="1" applyBorder="1" applyAlignment="1">
      <alignment horizontal="center"/>
    </xf>
    <xf numFmtId="0" fontId="0" fillId="0" borderId="36" xfId="0" applyFill="1" applyBorder="1"/>
    <xf numFmtId="43" fontId="0" fillId="0" borderId="9" xfId="0" applyNumberFormat="1" applyBorder="1"/>
    <xf numFmtId="43" fontId="0" fillId="0" borderId="9" xfId="3" applyFont="1" applyBorder="1"/>
    <xf numFmtId="43" fontId="0" fillId="0" borderId="39" xfId="3" applyFont="1" applyBorder="1"/>
    <xf numFmtId="170" fontId="0" fillId="0" borderId="24" xfId="3" applyNumberFormat="1" applyFont="1" applyFill="1" applyBorder="1"/>
    <xf numFmtId="174" fontId="0" fillId="4" borderId="24" xfId="3" applyNumberFormat="1" applyFont="1" applyFill="1" applyBorder="1"/>
    <xf numFmtId="170" fontId="0" fillId="0" borderId="28" xfId="3" applyNumberFormat="1" applyFont="1" applyBorder="1"/>
    <xf numFmtId="170" fontId="0" fillId="0" borderId="28" xfId="3" applyNumberFormat="1" applyFont="1" applyFill="1" applyBorder="1"/>
    <xf numFmtId="170" fontId="0" fillId="0" borderId="10" xfId="3" applyNumberFormat="1" applyFont="1" applyFill="1" applyBorder="1"/>
    <xf numFmtId="43" fontId="0" fillId="0" borderId="28" xfId="0" applyNumberFormat="1" applyBorder="1"/>
    <xf numFmtId="44" fontId="0" fillId="0" borderId="0" xfId="0" applyNumberFormat="1"/>
    <xf numFmtId="170" fontId="0" fillId="0" borderId="11" xfId="3" applyNumberFormat="1" applyFont="1" applyFill="1" applyBorder="1"/>
    <xf numFmtId="171" fontId="0" fillId="0" borderId="24" xfId="4" applyNumberFormat="1" applyFont="1" applyFill="1" applyBorder="1"/>
    <xf numFmtId="43" fontId="0" fillId="0" borderId="11" xfId="0" applyNumberFormat="1" applyBorder="1"/>
    <xf numFmtId="0" fontId="0" fillId="0" borderId="0" xfId="0" applyAlignment="1">
      <alignment horizontal="left" vertical="center" indent="1"/>
    </xf>
    <xf numFmtId="0" fontId="2" fillId="2" borderId="41" xfId="0" applyFont="1" applyFill="1" applyBorder="1" applyAlignment="1">
      <alignment vertical="center"/>
    </xf>
    <xf numFmtId="3" fontId="0" fillId="0" borderId="1" xfId="0" applyNumberFormat="1" applyBorder="1"/>
    <xf numFmtId="3" fontId="0" fillId="0" borderId="1" xfId="0" applyNumberFormat="1" applyFill="1" applyBorder="1"/>
    <xf numFmtId="0" fontId="5" fillId="0" borderId="1" xfId="0" applyFont="1" applyFill="1" applyBorder="1" applyAlignment="1">
      <alignment vertical="center" wrapText="1"/>
    </xf>
    <xf numFmtId="0" fontId="5" fillId="0" borderId="1" xfId="0" applyFont="1" applyFill="1" applyBorder="1"/>
    <xf numFmtId="0" fontId="2" fillId="0" borderId="0" xfId="0" applyFont="1" applyFill="1" applyBorder="1" applyAlignment="1">
      <alignment horizontal="center"/>
    </xf>
    <xf numFmtId="0" fontId="2" fillId="0" borderId="0" xfId="0" applyFont="1" applyFill="1" applyBorder="1" applyAlignment="1">
      <alignment vertical="center" wrapText="1"/>
    </xf>
    <xf numFmtId="0" fontId="3" fillId="4" borderId="1" xfId="0" applyFont="1" applyFill="1" applyBorder="1" applyAlignment="1">
      <alignment horizontal="center"/>
    </xf>
    <xf numFmtId="0" fontId="3" fillId="4" borderId="27" xfId="0" applyFont="1" applyFill="1" applyBorder="1" applyAlignment="1">
      <alignment horizontal="center"/>
    </xf>
    <xf numFmtId="0" fontId="3" fillId="0" borderId="1" xfId="0" applyFont="1" applyBorder="1" applyAlignment="1">
      <alignment horizontal="center"/>
    </xf>
    <xf numFmtId="0" fontId="0" fillId="0" borderId="1" xfId="0" applyBorder="1" applyAlignment="1">
      <alignment horizontal="center"/>
    </xf>
    <xf numFmtId="2" fontId="0" fillId="0" borderId="0" xfId="0" applyNumberFormat="1"/>
    <xf numFmtId="0" fontId="8" fillId="0" borderId="48" xfId="0" applyFont="1" applyBorder="1" applyAlignment="1">
      <alignment vertical="center" wrapText="1"/>
    </xf>
    <xf numFmtId="0" fontId="8" fillId="0" borderId="49" xfId="0" applyFont="1" applyBorder="1" applyAlignment="1">
      <alignment horizontal="right" vertical="center"/>
    </xf>
    <xf numFmtId="0" fontId="8" fillId="0" borderId="50" xfId="0" applyFont="1" applyBorder="1" applyAlignment="1">
      <alignment horizontal="right" vertical="center"/>
    </xf>
    <xf numFmtId="0" fontId="8" fillId="0" borderId="50" xfId="0" applyFont="1" applyBorder="1" applyAlignment="1">
      <alignment horizontal="right" vertical="center" wrapText="1"/>
    </xf>
    <xf numFmtId="0" fontId="9" fillId="0" borderId="0" xfId="0" applyFont="1"/>
    <xf numFmtId="0" fontId="8" fillId="0" borderId="47" xfId="0" applyFont="1" applyBorder="1" applyAlignment="1">
      <alignment vertical="center" wrapText="1"/>
    </xf>
    <xf numFmtId="9" fontId="3" fillId="3" borderId="1" xfId="1" applyFont="1" applyFill="1" applyBorder="1"/>
    <xf numFmtId="0" fontId="2" fillId="2" borderId="0" xfId="0" applyFont="1" applyFill="1" applyBorder="1" applyAlignment="1">
      <alignment horizontal="left"/>
    </xf>
    <xf numFmtId="0" fontId="3" fillId="0" borderId="0" xfId="0" applyFont="1" applyBorder="1"/>
    <xf numFmtId="0" fontId="0" fillId="5" borderId="1" xfId="0" applyFill="1" applyBorder="1" applyAlignment="1">
      <alignment horizontal="center" vertical="center" wrapText="1"/>
    </xf>
    <xf numFmtId="167" fontId="0" fillId="0" borderId="1" xfId="1" applyNumberFormat="1" applyFont="1" applyBorder="1"/>
    <xf numFmtId="0" fontId="8" fillId="16" borderId="48" xfId="0" applyFont="1" applyFill="1" applyBorder="1" applyAlignment="1">
      <alignment vertical="center" wrapText="1"/>
    </xf>
    <xf numFmtId="9" fontId="0" fillId="16" borderId="1" xfId="1" applyFont="1" applyFill="1" applyBorder="1"/>
    <xf numFmtId="9" fontId="3" fillId="16" borderId="1" xfId="1" applyFont="1" applyFill="1" applyBorder="1"/>
    <xf numFmtId="0" fontId="2" fillId="2" borderId="2" xfId="0" applyFont="1" applyFill="1" applyBorder="1" applyAlignment="1">
      <alignment wrapText="1"/>
    </xf>
    <xf numFmtId="167" fontId="0" fillId="5" borderId="2" xfId="0" applyNumberFormat="1" applyFill="1" applyBorder="1"/>
    <xf numFmtId="0" fontId="2" fillId="0" borderId="0" xfId="0" applyFont="1" applyFill="1" applyBorder="1" applyAlignment="1">
      <alignment wrapText="1"/>
    </xf>
    <xf numFmtId="2" fontId="0" fillId="0" borderId="0" xfId="0" applyNumberFormat="1" applyFill="1" applyBorder="1"/>
    <xf numFmtId="9" fontId="0" fillId="0" borderId="0" xfId="1" applyFont="1" applyFill="1"/>
    <xf numFmtId="1" fontId="0" fillId="17" borderId="1" xfId="0" applyNumberFormat="1" applyFill="1" applyBorder="1"/>
    <xf numFmtId="0" fontId="3" fillId="0" borderId="0" xfId="0" applyFont="1" applyAlignment="1">
      <alignment horizontal="center"/>
    </xf>
    <xf numFmtId="0" fontId="3" fillId="0" borderId="0" xfId="0" applyFont="1" applyAlignment="1"/>
    <xf numFmtId="170" fontId="0" fillId="0" borderId="1" xfId="1" applyNumberFormat="1" applyFont="1" applyFill="1" applyBorder="1"/>
    <xf numFmtId="0" fontId="10" fillId="0" borderId="0" xfId="0" applyFont="1"/>
    <xf numFmtId="0" fontId="0" fillId="0" borderId="0" xfId="0" applyFont="1" applyAlignment="1"/>
    <xf numFmtId="0" fontId="5" fillId="4" borderId="11" xfId="0" applyFont="1" applyFill="1" applyBorder="1"/>
    <xf numFmtId="0" fontId="0" fillId="4" borderId="11" xfId="0" applyFill="1" applyBorder="1"/>
    <xf numFmtId="0" fontId="7" fillId="3" borderId="35" xfId="0" applyFont="1" applyFill="1" applyBorder="1" applyAlignment="1">
      <alignment vertical="center"/>
    </xf>
    <xf numFmtId="0" fontId="5" fillId="3" borderId="42" xfId="0" applyFont="1" applyFill="1" applyBorder="1"/>
    <xf numFmtId="0" fontId="0" fillId="3" borderId="42" xfId="0" applyFill="1" applyBorder="1"/>
    <xf numFmtId="0" fontId="0" fillId="3" borderId="43" xfId="0" applyFill="1" applyBorder="1"/>
    <xf numFmtId="0" fontId="5" fillId="4" borderId="36" xfId="0" applyFont="1" applyFill="1" applyBorder="1"/>
    <xf numFmtId="0" fontId="0" fillId="4" borderId="51" xfId="0" applyFill="1" applyBorder="1"/>
    <xf numFmtId="0" fontId="5" fillId="5" borderId="38" xfId="0" applyFont="1" applyFill="1" applyBorder="1"/>
    <xf numFmtId="0" fontId="5" fillId="5" borderId="52" xfId="0" applyFont="1" applyFill="1" applyBorder="1"/>
    <xf numFmtId="0" fontId="0" fillId="5" borderId="52" xfId="0" applyFill="1" applyBorder="1"/>
    <xf numFmtId="0" fontId="0" fillId="5" borderId="53" xfId="0" applyFill="1" applyBorder="1"/>
    <xf numFmtId="1" fontId="3" fillId="3" borderId="1" xfId="0" applyNumberFormat="1" applyFont="1" applyFill="1" applyBorder="1" applyAlignment="1">
      <alignment horizontal="center" vertical="center" wrapText="1"/>
    </xf>
    <xf numFmtId="0" fontId="0" fillId="0" borderId="2" xfId="0" applyFill="1" applyBorder="1"/>
    <xf numFmtId="164" fontId="0" fillId="0" borderId="0" xfId="0" applyNumberFormat="1"/>
    <xf numFmtId="0" fontId="2" fillId="2" borderId="24" xfId="0" applyFont="1" applyFill="1" applyBorder="1" applyAlignment="1">
      <alignment horizontal="center"/>
    </xf>
    <xf numFmtId="0" fontId="2" fillId="2" borderId="0" xfId="0" applyFont="1" applyFill="1" applyAlignment="1">
      <alignment horizontal="center"/>
    </xf>
    <xf numFmtId="0" fontId="0" fillId="0" borderId="3" xfId="0" applyBorder="1" applyAlignment="1">
      <alignment horizontal="left" vertical="center"/>
    </xf>
    <xf numFmtId="0" fontId="0" fillId="0" borderId="5" xfId="0" applyBorder="1" applyAlignment="1">
      <alignment horizontal="left" vertical="center"/>
    </xf>
    <xf numFmtId="0" fontId="2" fillId="2" borderId="12"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3" xfId="0" applyFont="1" applyFill="1" applyBorder="1" applyAlignment="1">
      <alignment horizontal="center" vertical="center"/>
    </xf>
    <xf numFmtId="43" fontId="0" fillId="0" borderId="0" xfId="3" applyFont="1" applyFill="1" applyBorder="1" applyAlignment="1">
      <alignment horizontal="center" vertical="center"/>
    </xf>
    <xf numFmtId="0" fontId="3" fillId="4" borderId="1" xfId="0" applyFont="1" applyFill="1" applyBorder="1" applyAlignment="1">
      <alignment horizontal="center"/>
    </xf>
    <xf numFmtId="0" fontId="3" fillId="4" borderId="27" xfId="0" applyFont="1" applyFill="1" applyBorder="1" applyAlignment="1">
      <alignment horizontal="center"/>
    </xf>
    <xf numFmtId="0" fontId="2" fillId="2" borderId="12" xfId="0" applyFont="1" applyFill="1" applyBorder="1" applyAlignment="1">
      <alignment horizontal="center"/>
    </xf>
    <xf numFmtId="0" fontId="2" fillId="2" borderId="9" xfId="0" applyFont="1" applyFill="1" applyBorder="1" applyAlignment="1">
      <alignment horizontal="center"/>
    </xf>
    <xf numFmtId="0" fontId="2" fillId="2" borderId="13" xfId="0" applyFont="1" applyFill="1" applyBorder="1" applyAlignment="1">
      <alignment horizontal="center"/>
    </xf>
    <xf numFmtId="0" fontId="2" fillId="2" borderId="2" xfId="0" applyFont="1" applyFill="1" applyBorder="1" applyAlignment="1">
      <alignment horizontal="center"/>
    </xf>
    <xf numFmtId="0" fontId="2" fillId="2" borderId="11" xfId="0" applyFont="1" applyFill="1" applyBorder="1" applyAlignment="1">
      <alignment horizontal="center"/>
    </xf>
    <xf numFmtId="0" fontId="2" fillId="2" borderId="24" xfId="0" applyFont="1" applyFill="1" applyBorder="1" applyAlignment="1">
      <alignment horizontal="left"/>
    </xf>
    <xf numFmtId="0" fontId="2" fillId="2" borderId="0" xfId="0" applyFont="1" applyFill="1" applyBorder="1" applyAlignment="1">
      <alignment horizontal="left"/>
    </xf>
    <xf numFmtId="0" fontId="2" fillId="0" borderId="0" xfId="0" applyFont="1" applyFill="1" applyBorder="1" applyAlignment="1">
      <alignment horizontal="center" vertical="center" wrapText="1"/>
    </xf>
    <xf numFmtId="0" fontId="2" fillId="2" borderId="1" xfId="0" applyFont="1" applyFill="1" applyBorder="1" applyAlignment="1">
      <alignment horizontal="left"/>
    </xf>
    <xf numFmtId="0" fontId="2" fillId="2" borderId="0" xfId="0" applyFont="1" applyFill="1" applyBorder="1" applyAlignment="1">
      <alignment horizontal="center"/>
    </xf>
    <xf numFmtId="0" fontId="0" fillId="5" borderId="25" xfId="0" applyFill="1" applyBorder="1" applyAlignment="1">
      <alignment horizontal="center" vertical="center" wrapText="1"/>
    </xf>
    <xf numFmtId="0" fontId="0" fillId="5" borderId="42" xfId="0" applyFill="1" applyBorder="1" applyAlignment="1">
      <alignment horizontal="center" vertical="center" wrapText="1"/>
    </xf>
    <xf numFmtId="0" fontId="0" fillId="5" borderId="43" xfId="0" applyFill="1" applyBorder="1" applyAlignment="1">
      <alignment horizontal="center" vertical="center" wrapText="1"/>
    </xf>
    <xf numFmtId="0" fontId="0" fillId="6" borderId="25" xfId="0" applyFill="1" applyBorder="1" applyAlignment="1">
      <alignment horizontal="center" vertical="center" wrapText="1"/>
    </xf>
    <xf numFmtId="0" fontId="0" fillId="6" borderId="42" xfId="0" applyFill="1" applyBorder="1" applyAlignment="1">
      <alignment horizontal="center" vertical="center" wrapText="1"/>
    </xf>
    <xf numFmtId="0" fontId="0" fillId="6" borderId="43" xfId="0" applyFill="1" applyBorder="1" applyAlignment="1">
      <alignment horizontal="center" vertical="center" wrapText="1"/>
    </xf>
    <xf numFmtId="0" fontId="2" fillId="2" borderId="6" xfId="0" applyFont="1" applyFill="1" applyBorder="1" applyAlignment="1">
      <alignment horizontal="center"/>
    </xf>
    <xf numFmtId="0" fontId="2" fillId="2" borderId="7" xfId="0" applyFont="1" applyFill="1" applyBorder="1" applyAlignment="1">
      <alignment horizontal="center"/>
    </xf>
    <xf numFmtId="0" fontId="2" fillId="2" borderId="8" xfId="0" applyFont="1" applyFill="1" applyBorder="1" applyAlignment="1">
      <alignment horizontal="center"/>
    </xf>
    <xf numFmtId="0" fontId="0" fillId="0" borderId="1" xfId="0" applyBorder="1" applyAlignment="1">
      <alignment horizontal="center" vertic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1" xfId="0" applyBorder="1" applyAlignment="1">
      <alignment horizontal="center"/>
    </xf>
    <xf numFmtId="0" fontId="3" fillId="18" borderId="0" xfId="0" applyFont="1" applyFill="1" applyAlignment="1">
      <alignment horizontal="center"/>
    </xf>
    <xf numFmtId="0" fontId="3" fillId="6" borderId="0" xfId="0" applyFont="1" applyFill="1" applyAlignment="1">
      <alignment horizont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cellXfs>
  <cellStyles count="5">
    <cellStyle name="Comma" xfId="3" builtinId="3"/>
    <cellStyle name="Currency" xfId="4" builtinId="4"/>
    <cellStyle name="Hyperlink" xfId="2" builtinId="8"/>
    <cellStyle name="Normal" xfId="0" builtinId="0"/>
    <cellStyle name="Percent" xfId="1" builtinId="5"/>
  </cellStyles>
  <dxfs count="26">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24</xdr:col>
      <xdr:colOff>506506</xdr:colOff>
      <xdr:row>1</xdr:row>
      <xdr:rowOff>112059</xdr:rowOff>
    </xdr:from>
    <xdr:to>
      <xdr:col>32</xdr:col>
      <xdr:colOff>427674</xdr:colOff>
      <xdr:row>25</xdr:row>
      <xdr:rowOff>41457</xdr:rowOff>
    </xdr:to>
    <xdr:pic>
      <xdr:nvPicPr>
        <xdr:cNvPr id="2" name="Picture 1">
          <a:extLst>
            <a:ext uri="{FF2B5EF4-FFF2-40B4-BE49-F238E27FC236}">
              <a16:creationId xmlns:a16="http://schemas.microsoft.com/office/drawing/2014/main" id="{93B069AD-0B50-46BB-BA4C-BFA67908DB9E}"/>
            </a:ext>
          </a:extLst>
        </xdr:cNvPr>
        <xdr:cNvPicPr>
          <a:picLocks noChangeAspect="1"/>
        </xdr:cNvPicPr>
      </xdr:nvPicPr>
      <xdr:blipFill>
        <a:blip xmlns:r="http://schemas.openxmlformats.org/officeDocument/2006/relationships" r:embed="rId1"/>
        <a:stretch>
          <a:fillRect/>
        </a:stretch>
      </xdr:blipFill>
      <xdr:spPr>
        <a:xfrm>
          <a:off x="21528741" y="313765"/>
          <a:ext cx="4762109" cy="589260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ecfr.gov/cgi-bin/text-idx?SID=a9921a66f2b4f66a32ec851916b7b9d9&amp;mc=true&amp;node=se10.3.430_132&amp;rgn=div8" TargetMode="External"/><Relationship Id="rId13" Type="http://schemas.openxmlformats.org/officeDocument/2006/relationships/hyperlink" Target="https://catalog.extension.oregonstate.edu/sites/catalog/files/project/pdf/ec1628.pdf" TargetMode="External"/><Relationship Id="rId3" Type="http://schemas.openxmlformats.org/officeDocument/2006/relationships/hyperlink" Target="https://www.epa.gov/system/files/documents/2022-04/ghg_emission_factors_hub.pdf" TargetMode="External"/><Relationship Id="rId7" Type="http://schemas.openxmlformats.org/officeDocument/2006/relationships/hyperlink" Target="https://www.ecfr.gov/cgi-bin/text-idx?SID=a9921a66f2b4f66a32ec851916b7b9d9&amp;mc=true&amp;node=se10.3.430_132&amp;rgn=div8" TargetMode="External"/><Relationship Id="rId12" Type="http://schemas.openxmlformats.org/officeDocument/2006/relationships/hyperlink" Target="https://www.epa.gov/system/files/documents/2022-04/ghg_emission_factors_hub.pdf" TargetMode="External"/><Relationship Id="rId2" Type="http://schemas.openxmlformats.org/officeDocument/2006/relationships/hyperlink" Target="https://www.epa.gov/system/files/documents/2022-04/ghg_emission_factors_hub.pdf" TargetMode="External"/><Relationship Id="rId1" Type="http://schemas.openxmlformats.org/officeDocument/2006/relationships/hyperlink" Target="https://www.epa.gov/egrid" TargetMode="External"/><Relationship Id="rId6" Type="http://schemas.openxmlformats.org/officeDocument/2006/relationships/hyperlink" Target="https://www.ecfr.gov/cgi-bin/text-idx?SID=a9921a66f2b4f66a32ec851916b7b9d9&amp;mc=true&amp;node=se10.3.430_132&amp;rgn=div8" TargetMode="External"/><Relationship Id="rId11" Type="http://schemas.openxmlformats.org/officeDocument/2006/relationships/hyperlink" Target="https://www.eia.gov/dnav/ng/hist/n3010mn3m.htm" TargetMode="External"/><Relationship Id="rId5" Type="http://schemas.openxmlformats.org/officeDocument/2006/relationships/hyperlink" Target="https://www.ecfr.gov/cgi-bin/text-idx?SID=a9921a66f2b4f66a32ec851916b7b9d9&amp;mc=true&amp;node=se10.3.430_132&amp;rgn=div8" TargetMode="External"/><Relationship Id="rId10" Type="http://schemas.openxmlformats.org/officeDocument/2006/relationships/hyperlink" Target="https://ycharts.com/indicators/minnesota_residential_propane_price" TargetMode="External"/><Relationship Id="rId4" Type="http://schemas.openxmlformats.org/officeDocument/2006/relationships/hyperlink" Target="https://www.epa.gov/system/files/documents/2022-04/ghg_emission_factors_hub.pdf" TargetMode="External"/><Relationship Id="rId9" Type="http://schemas.openxmlformats.org/officeDocument/2006/relationships/hyperlink" Target="https://www.ecfr.gov/cgi-bin/text-idx?SID=a9921a66f2b4f66a32ec851916b7b9d9&amp;mc=true&amp;node=se10.3.430_132&amp;rgn=div8" TargetMode="External"/><Relationship Id="rId1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epa.gov/egrid" TargetMode="External"/><Relationship Id="rId2" Type="http://schemas.openxmlformats.org/officeDocument/2006/relationships/hyperlink" Target="https://www.ecfr.gov/cgi-bin/text-idx?SID=a9921a66f2b4f66a32ec851916b7b9d9&amp;mc=true&amp;node=se10.3.430_132&amp;rgn=div8" TargetMode="External"/><Relationship Id="rId1" Type="http://schemas.openxmlformats.org/officeDocument/2006/relationships/hyperlink" Target="https://www.ecfr.gov/cgi-bin/text-idx?SID=a9921a66f2b4f66a32ec851916b7b9d9&amp;mc=true&amp;node=se10.3.430_132&amp;rgn=div8" TargetMode="Externa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86AD8-2B6F-4AAA-82F2-DED3C9872B09}">
  <sheetPr>
    <tabColor theme="5" tint="0.39997558519241921"/>
  </sheetPr>
  <dimension ref="B1:BL130"/>
  <sheetViews>
    <sheetView tabSelected="1" workbookViewId="0">
      <selection activeCell="F12" sqref="F12"/>
    </sheetView>
  </sheetViews>
  <sheetFormatPr defaultRowHeight="15" x14ac:dyDescent="0.25"/>
  <cols>
    <col min="1" max="1" width="3.140625" customWidth="1"/>
    <col min="2" max="2" width="27.140625" customWidth="1"/>
    <col min="3" max="3" width="10.7109375" customWidth="1"/>
    <col min="4" max="4" width="12.28515625" customWidth="1"/>
    <col min="5" max="5" width="12" customWidth="1"/>
    <col min="6" max="6" width="11.5703125" customWidth="1"/>
    <col min="7" max="7" width="12.7109375" customWidth="1"/>
    <col min="8" max="11" width="10.7109375" customWidth="1"/>
    <col min="12" max="12" width="12" customWidth="1"/>
    <col min="13" max="16" width="10.7109375" customWidth="1"/>
    <col min="17" max="17" width="12.7109375" customWidth="1"/>
    <col min="18" max="19" width="10.7109375" customWidth="1"/>
    <col min="20" max="20" width="20.42578125" bestFit="1" customWidth="1"/>
    <col min="21" max="21" width="31.7109375" bestFit="1" customWidth="1"/>
    <col min="22" max="24" width="13.5703125" customWidth="1"/>
    <col min="25" max="25" width="8.7109375" customWidth="1"/>
    <col min="26" max="26" width="26.7109375" customWidth="1"/>
    <col min="27" max="29" width="13.85546875" customWidth="1"/>
    <col min="30" max="30" width="10.7109375" style="76" customWidth="1"/>
    <col min="31" max="31" width="31" style="76" customWidth="1"/>
    <col min="32" max="34" width="13.7109375" customWidth="1"/>
    <col min="36" max="36" width="31.42578125" customWidth="1"/>
    <col min="37" max="39" width="13.7109375" customWidth="1"/>
    <col min="41" max="41" width="31.7109375" customWidth="1"/>
    <col min="42" max="44" width="11.85546875" customWidth="1"/>
    <col min="46" max="46" width="29.7109375" customWidth="1"/>
    <col min="47" max="49" width="11.7109375" customWidth="1"/>
    <col min="50" max="50" width="11.5703125" bestFit="1" customWidth="1"/>
    <col min="51" max="51" width="30.28515625" customWidth="1"/>
    <col min="52" max="54" width="10.7109375" customWidth="1"/>
    <col min="55" max="55" width="10.5703125" bestFit="1" customWidth="1"/>
    <col min="56" max="56" width="32.140625" customWidth="1"/>
    <col min="57" max="59" width="10.42578125" customWidth="1"/>
    <col min="60" max="60" width="9.5703125" bestFit="1" customWidth="1"/>
    <col min="61" max="61" width="29.85546875" customWidth="1"/>
    <col min="62" max="62" width="13" customWidth="1"/>
    <col min="63" max="64" width="12.7109375" customWidth="1"/>
  </cols>
  <sheetData>
    <row r="1" spans="2:37" x14ac:dyDescent="0.25">
      <c r="AD1"/>
      <c r="AE1"/>
      <c r="AH1" s="73"/>
      <c r="AI1" s="73"/>
      <c r="AJ1" s="73"/>
      <c r="AK1" s="73"/>
    </row>
    <row r="2" spans="2:37" x14ac:dyDescent="0.25">
      <c r="B2" s="21" t="s">
        <v>10</v>
      </c>
      <c r="C2" s="22"/>
      <c r="G2" s="5" t="s">
        <v>144</v>
      </c>
      <c r="H2" s="310" t="s">
        <v>2</v>
      </c>
      <c r="I2" s="311"/>
      <c r="J2" s="311"/>
      <c r="K2" s="311"/>
      <c r="L2" s="74" t="s">
        <v>3</v>
      </c>
      <c r="M2" s="74"/>
      <c r="N2" s="74"/>
      <c r="O2" s="263"/>
      <c r="Q2" s="263"/>
      <c r="R2" s="263"/>
      <c r="S2" s="263"/>
      <c r="AD2"/>
      <c r="AE2"/>
      <c r="AH2" s="73"/>
      <c r="AI2" s="73"/>
      <c r="AJ2" s="73"/>
      <c r="AK2" s="73"/>
    </row>
    <row r="3" spans="2:37" ht="60" x14ac:dyDescent="0.25">
      <c r="B3" s="15" t="s">
        <v>11</v>
      </c>
      <c r="C3" s="15" t="s">
        <v>117</v>
      </c>
      <c r="D3" s="15" t="s">
        <v>12</v>
      </c>
      <c r="G3" s="16" t="s">
        <v>5</v>
      </c>
      <c r="H3" s="2" t="s">
        <v>6</v>
      </c>
      <c r="I3" s="2" t="s">
        <v>7</v>
      </c>
      <c r="J3" s="2"/>
      <c r="K3" s="2" t="s">
        <v>8</v>
      </c>
      <c r="L3" s="52" t="s">
        <v>9</v>
      </c>
      <c r="M3" s="52" t="s">
        <v>7</v>
      </c>
      <c r="N3" s="52" t="s">
        <v>8</v>
      </c>
      <c r="O3" s="264"/>
      <c r="Q3" s="264"/>
      <c r="R3" s="52" t="s">
        <v>302</v>
      </c>
      <c r="S3" s="264"/>
      <c r="U3" s="286"/>
      <c r="V3" s="286"/>
      <c r="AH3" s="73"/>
      <c r="AI3" s="73"/>
      <c r="AJ3" s="73"/>
      <c r="AK3" s="73"/>
    </row>
    <row r="4" spans="2:37" x14ac:dyDescent="0.25">
      <c r="B4" s="32" t="s">
        <v>13</v>
      </c>
      <c r="C4" s="32" t="s">
        <v>210</v>
      </c>
      <c r="D4" s="1"/>
      <c r="G4" s="1">
        <v>1</v>
      </c>
      <c r="H4" s="39">
        <v>7005.9783510033394</v>
      </c>
      <c r="I4" s="39">
        <v>28853.888888858299</v>
      </c>
      <c r="J4" s="39"/>
      <c r="K4" s="14">
        <f>H4*3412/1000*2.5</f>
        <v>59760.995334058491</v>
      </c>
      <c r="L4" s="39">
        <v>802.49050619822003</v>
      </c>
      <c r="M4" s="39">
        <v>70730.952380952396</v>
      </c>
      <c r="N4" s="39">
        <f>L4*100*0.82</f>
        <v>65804.22150825405</v>
      </c>
      <c r="O4" s="147"/>
      <c r="P4" s="19"/>
      <c r="Q4" s="147"/>
      <c r="R4" s="1">
        <v>55</v>
      </c>
      <c r="S4" s="147"/>
      <c r="U4" s="76"/>
      <c r="V4" s="76"/>
      <c r="AH4" s="73"/>
      <c r="AI4" s="73"/>
      <c r="AJ4" s="73"/>
      <c r="AK4" s="73"/>
    </row>
    <row r="5" spans="2:37" x14ac:dyDescent="0.25">
      <c r="B5" s="32" t="s">
        <v>14</v>
      </c>
      <c r="C5" s="32" t="s">
        <v>211</v>
      </c>
      <c r="D5" s="1"/>
      <c r="G5" s="1">
        <v>2</v>
      </c>
      <c r="H5" s="39">
        <v>6781.5855806331811</v>
      </c>
      <c r="I5" s="39">
        <v>29465.6441717583</v>
      </c>
      <c r="J5" s="39"/>
      <c r="K5" s="14">
        <f>H5*3412/1000*2.5</f>
        <v>57846.925002801036</v>
      </c>
      <c r="L5" s="39">
        <v>701.11788566208304</v>
      </c>
      <c r="M5" s="39">
        <v>69597.307853392893</v>
      </c>
      <c r="N5" s="39">
        <f>L5*100*0.82</f>
        <v>57491.666624290803</v>
      </c>
      <c r="O5" s="147"/>
      <c r="P5" s="19"/>
      <c r="Q5" s="147"/>
      <c r="R5" s="1">
        <v>50</v>
      </c>
      <c r="S5" s="147"/>
      <c r="U5" s="76"/>
      <c r="V5" s="287"/>
      <c r="X5" s="73"/>
      <c r="Y5" s="73"/>
      <c r="Z5" s="73"/>
      <c r="AH5" s="73"/>
      <c r="AI5" s="73"/>
      <c r="AJ5" s="73"/>
      <c r="AK5" s="73"/>
    </row>
    <row r="6" spans="2:37" x14ac:dyDescent="0.25">
      <c r="B6" s="32" t="s">
        <v>15</v>
      </c>
      <c r="C6" s="32" t="s">
        <v>16</v>
      </c>
      <c r="D6" s="1"/>
      <c r="G6" s="1">
        <v>3</v>
      </c>
      <c r="H6" s="39">
        <v>2568.0906862966935</v>
      </c>
      <c r="I6" s="39">
        <v>23425.559380378701</v>
      </c>
      <c r="J6" s="39"/>
      <c r="K6" s="14">
        <f>H6*3412/1000*2.5</f>
        <v>21905.813554110795</v>
      </c>
      <c r="L6" s="39">
        <v>734.41647771284295</v>
      </c>
      <c r="M6" s="39">
        <v>71480.874704228903</v>
      </c>
      <c r="N6" s="39">
        <f>L6*100*0.82</f>
        <v>60222.151172453116</v>
      </c>
      <c r="O6" s="147"/>
      <c r="P6" s="288"/>
      <c r="Q6" s="147"/>
      <c r="R6" s="1">
        <v>45</v>
      </c>
      <c r="S6" s="147"/>
      <c r="U6" s="76"/>
      <c r="V6" s="287"/>
      <c r="X6" s="73"/>
      <c r="Y6" s="73"/>
      <c r="Z6" s="73"/>
    </row>
    <row r="7" spans="2:37" x14ac:dyDescent="0.25">
      <c r="B7" s="312" t="s">
        <v>17</v>
      </c>
      <c r="C7" s="32" t="s">
        <v>18</v>
      </c>
      <c r="D7" s="1"/>
      <c r="F7" s="10"/>
      <c r="H7" t="s">
        <v>145</v>
      </c>
      <c r="R7" s="1">
        <v>40</v>
      </c>
      <c r="U7" s="76"/>
      <c r="V7" s="287"/>
    </row>
    <row r="8" spans="2:37" x14ac:dyDescent="0.25">
      <c r="B8" s="313"/>
      <c r="C8" s="32" t="s">
        <v>19</v>
      </c>
      <c r="D8" s="1"/>
      <c r="F8" s="10"/>
      <c r="R8" s="1">
        <v>35</v>
      </c>
      <c r="U8" s="76"/>
      <c r="V8" s="287"/>
    </row>
    <row r="9" spans="2:37" x14ac:dyDescent="0.25">
      <c r="B9" s="312" t="s">
        <v>20</v>
      </c>
      <c r="C9" s="32" t="s">
        <v>21</v>
      </c>
      <c r="D9" s="1" t="s">
        <v>131</v>
      </c>
      <c r="R9" s="1">
        <v>30</v>
      </c>
      <c r="U9" s="76"/>
      <c r="V9" s="287"/>
    </row>
    <row r="10" spans="2:37" x14ac:dyDescent="0.25">
      <c r="B10" s="313"/>
      <c r="C10" s="32" t="s">
        <v>22</v>
      </c>
      <c r="D10" s="1" t="s">
        <v>134</v>
      </c>
      <c r="R10" s="1">
        <v>25</v>
      </c>
      <c r="U10" s="76"/>
      <c r="V10" s="287"/>
    </row>
    <row r="11" spans="2:37" x14ac:dyDescent="0.25">
      <c r="B11" s="33" t="s">
        <v>23</v>
      </c>
      <c r="C11" s="307">
        <v>30</v>
      </c>
      <c r="D11" s="1" t="s">
        <v>143</v>
      </c>
      <c r="H11" s="10"/>
      <c r="R11" s="1">
        <v>20</v>
      </c>
    </row>
    <row r="12" spans="2:37" x14ac:dyDescent="0.25">
      <c r="B12" s="261" t="s">
        <v>275</v>
      </c>
      <c r="C12" s="13">
        <v>1750</v>
      </c>
      <c r="D12" s="1"/>
      <c r="H12" s="10"/>
      <c r="R12" s="1">
        <v>15</v>
      </c>
    </row>
    <row r="13" spans="2:37" x14ac:dyDescent="0.25">
      <c r="B13" s="262" t="s">
        <v>281</v>
      </c>
      <c r="C13" s="13">
        <f>C12*0.135</f>
        <v>236.25000000000003</v>
      </c>
      <c r="D13" s="1"/>
      <c r="H13" s="10"/>
      <c r="R13" s="1">
        <v>10</v>
      </c>
    </row>
    <row r="14" spans="2:37" x14ac:dyDescent="0.25">
      <c r="B14" s="262" t="s">
        <v>274</v>
      </c>
      <c r="C14" s="13">
        <v>68</v>
      </c>
      <c r="D14" s="1"/>
      <c r="H14" s="10"/>
      <c r="R14" s="1">
        <v>5</v>
      </c>
    </row>
    <row r="15" spans="2:37" ht="15.75" thickBot="1" x14ac:dyDescent="0.3">
      <c r="R15" s="1">
        <v>0</v>
      </c>
    </row>
    <row r="16" spans="2:37" ht="45" x14ac:dyDescent="0.25">
      <c r="B16" s="15" t="s">
        <v>5</v>
      </c>
      <c r="C16" s="20" t="s">
        <v>27</v>
      </c>
      <c r="D16" s="284" t="s">
        <v>28</v>
      </c>
      <c r="E16" s="286"/>
      <c r="F16" s="286"/>
      <c r="G16" s="297" t="s">
        <v>317</v>
      </c>
      <c r="H16" s="298"/>
      <c r="I16" s="299"/>
      <c r="J16" s="300"/>
      <c r="R16" s="1">
        <v>-5</v>
      </c>
    </row>
    <row r="17" spans="2:64" x14ac:dyDescent="0.25">
      <c r="B17" s="1">
        <v>1</v>
      </c>
      <c r="C17" s="38">
        <f>H70</f>
        <v>0.67220774296527253</v>
      </c>
      <c r="D17" s="285">
        <f>1-C17</f>
        <v>0.32779225703472747</v>
      </c>
      <c r="E17" s="317"/>
      <c r="F17" s="317"/>
      <c r="G17" s="301" t="s">
        <v>318</v>
      </c>
      <c r="H17" s="295"/>
      <c r="I17" s="296"/>
      <c r="J17" s="302"/>
      <c r="R17" s="1">
        <v>-10</v>
      </c>
    </row>
    <row r="18" spans="2:64" ht="15.75" thickBot="1" x14ac:dyDescent="0.3">
      <c r="B18" s="1">
        <v>2</v>
      </c>
      <c r="C18" s="38">
        <f>M70</f>
        <v>0.63494006902486844</v>
      </c>
      <c r="D18" s="285">
        <f>1-C18</f>
        <v>0.36505993097513156</v>
      </c>
      <c r="E18" s="317"/>
      <c r="F18" s="317"/>
      <c r="G18" s="303" t="s">
        <v>319</v>
      </c>
      <c r="H18" s="304"/>
      <c r="I18" s="305"/>
      <c r="J18" s="306"/>
      <c r="R18" s="1">
        <v>-15</v>
      </c>
    </row>
    <row r="19" spans="2:64" x14ac:dyDescent="0.25">
      <c r="B19" s="1">
        <v>3</v>
      </c>
      <c r="C19" s="38">
        <f>R70</f>
        <v>0.59108576224434706</v>
      </c>
      <c r="D19" s="285">
        <f>1-C19</f>
        <v>0.40891423775565294</v>
      </c>
      <c r="E19" s="317"/>
      <c r="F19" s="317"/>
      <c r="R19" s="1">
        <v>-20</v>
      </c>
      <c r="W19" s="5"/>
    </row>
    <row r="20" spans="2:64" ht="15.75" thickBot="1" x14ac:dyDescent="0.3">
      <c r="R20" s="163">
        <v>-25</v>
      </c>
      <c r="AD20"/>
    </row>
    <row r="21" spans="2:64" x14ac:dyDescent="0.25">
      <c r="B21" s="23" t="s">
        <v>29</v>
      </c>
      <c r="C21" s="24"/>
      <c r="D21" s="24"/>
      <c r="E21" s="24"/>
      <c r="F21" s="24"/>
      <c r="G21" s="24"/>
      <c r="H21" s="24"/>
      <c r="I21" s="24"/>
      <c r="J21" s="24"/>
      <c r="K21" s="24"/>
      <c r="L21" s="25"/>
      <c r="M21" s="169"/>
      <c r="N21" s="169"/>
      <c r="O21" s="169"/>
      <c r="P21" s="169"/>
      <c r="Q21" s="169"/>
      <c r="R21" s="163">
        <v>-30</v>
      </c>
      <c r="S21" s="169"/>
    </row>
    <row r="22" spans="2:64" x14ac:dyDescent="0.25">
      <c r="B22" s="26" t="s">
        <v>21</v>
      </c>
      <c r="C22" t="s">
        <v>30</v>
      </c>
      <c r="D22" t="s">
        <v>31</v>
      </c>
      <c r="L22" s="27"/>
      <c r="M22" s="169"/>
      <c r="N22" s="169"/>
      <c r="O22" s="169"/>
      <c r="P22" s="169"/>
      <c r="Q22" s="169"/>
      <c r="R22" s="163">
        <v>-35</v>
      </c>
      <c r="S22" s="169"/>
      <c r="AA22" s="196"/>
      <c r="BJ22" s="196"/>
    </row>
    <row r="23" spans="2:64" x14ac:dyDescent="0.25">
      <c r="B23" s="26"/>
      <c r="C23" t="s">
        <v>32</v>
      </c>
      <c r="D23" s="46" t="s">
        <v>33</v>
      </c>
      <c r="L23" s="27"/>
      <c r="M23" s="169"/>
      <c r="N23" s="169"/>
      <c r="O23" s="169"/>
      <c r="P23" s="169"/>
      <c r="Q23" s="169"/>
      <c r="R23" s="163">
        <v>-40</v>
      </c>
      <c r="S23" s="169"/>
      <c r="AA23" s="196"/>
      <c r="BE23" s="196"/>
      <c r="BJ23" s="196"/>
    </row>
    <row r="24" spans="2:64" x14ac:dyDescent="0.25">
      <c r="B24" s="26" t="s">
        <v>22</v>
      </c>
      <c r="L24" s="27"/>
      <c r="M24" s="169"/>
      <c r="N24" s="169"/>
      <c r="O24" s="169"/>
      <c r="P24" s="169"/>
      <c r="Q24" s="169"/>
      <c r="R24" s="169"/>
      <c r="S24" s="169"/>
      <c r="AA24" s="196"/>
      <c r="BE24" s="196"/>
      <c r="BJ24" s="196"/>
    </row>
    <row r="25" spans="2:64" x14ac:dyDescent="0.25">
      <c r="B25" s="26"/>
      <c r="C25" t="s">
        <v>30</v>
      </c>
      <c r="D25" t="s">
        <v>34</v>
      </c>
      <c r="L25" s="27"/>
      <c r="M25" s="169"/>
      <c r="N25" s="169"/>
      <c r="O25" s="169"/>
      <c r="P25" s="169"/>
      <c r="Q25" s="169"/>
      <c r="R25" s="169"/>
      <c r="S25" s="169"/>
      <c r="AA25" s="196"/>
      <c r="BE25" s="196"/>
      <c r="BJ25" s="196"/>
    </row>
    <row r="26" spans="2:64" ht="15.75" thickBot="1" x14ac:dyDescent="0.3">
      <c r="B26" s="28"/>
      <c r="C26" s="29" t="s">
        <v>32</v>
      </c>
      <c r="D26" s="47" t="s">
        <v>35</v>
      </c>
      <c r="E26" s="29"/>
      <c r="F26" s="29"/>
      <c r="G26" s="29"/>
      <c r="H26" s="29"/>
      <c r="I26" s="29"/>
      <c r="J26" s="29"/>
      <c r="K26" s="29"/>
      <c r="L26" s="30"/>
      <c r="M26" s="169"/>
      <c r="N26" s="169"/>
      <c r="O26" s="169"/>
      <c r="P26" s="169"/>
      <c r="Q26" s="169"/>
      <c r="R26" s="169"/>
      <c r="S26" s="169"/>
      <c r="AA26" s="196"/>
      <c r="BE26" s="196"/>
      <c r="BI26" s="293" t="s">
        <v>320</v>
      </c>
      <c r="BJ26" s="196"/>
    </row>
    <row r="27" spans="2:64" ht="15.75" thickBot="1" x14ac:dyDescent="0.3">
      <c r="V27" s="73"/>
      <c r="W27" s="73"/>
      <c r="X27" s="73"/>
      <c r="BE27" s="192"/>
      <c r="BJ27" s="192"/>
    </row>
    <row r="28" spans="2:64" ht="15.75" thickBot="1" x14ac:dyDescent="0.3">
      <c r="B28" s="16"/>
      <c r="C28" s="16" t="s">
        <v>300</v>
      </c>
      <c r="D28" s="314" t="s">
        <v>2</v>
      </c>
      <c r="E28" s="315"/>
      <c r="F28" s="316"/>
      <c r="G28" s="48" t="s">
        <v>36</v>
      </c>
      <c r="H28" s="50"/>
      <c r="K28" s="50"/>
      <c r="L28" s="50"/>
      <c r="M28" s="50"/>
      <c r="N28" s="50"/>
      <c r="O28" s="50"/>
      <c r="P28" s="50"/>
      <c r="Q28" s="50"/>
      <c r="R28" s="50"/>
      <c r="S28" s="50"/>
      <c r="V28" s="183" t="s">
        <v>132</v>
      </c>
      <c r="W28" s="184"/>
      <c r="X28" s="185"/>
      <c r="AA28" s="134" t="s">
        <v>135</v>
      </c>
      <c r="AB28" s="134"/>
      <c r="AC28" s="134"/>
      <c r="AD28" s="143"/>
      <c r="AE28" s="143"/>
      <c r="AF28" s="135" t="s">
        <v>133</v>
      </c>
      <c r="AG28" s="135"/>
      <c r="AH28" s="136"/>
      <c r="AJ28" s="143"/>
      <c r="AK28" s="174" t="s">
        <v>172</v>
      </c>
      <c r="AL28" s="174"/>
      <c r="AM28" s="175"/>
      <c r="AO28" s="143"/>
      <c r="AP28" s="176" t="s">
        <v>283</v>
      </c>
      <c r="AQ28" s="176"/>
      <c r="AR28" s="177"/>
      <c r="AT28" s="143"/>
      <c r="AU28" s="178" t="s">
        <v>173</v>
      </c>
      <c r="AV28" s="178"/>
      <c r="AW28" s="179"/>
      <c r="AY28" s="143"/>
      <c r="AZ28" s="174" t="s">
        <v>297</v>
      </c>
      <c r="BA28" s="174"/>
      <c r="BB28" s="175"/>
      <c r="BD28" s="143"/>
      <c r="BE28" s="230" t="s">
        <v>157</v>
      </c>
      <c r="BF28" s="230"/>
      <c r="BG28" s="231"/>
      <c r="BI28" s="143"/>
      <c r="BJ28" s="135" t="s">
        <v>215</v>
      </c>
      <c r="BK28" s="135"/>
      <c r="BL28" s="135"/>
    </row>
    <row r="29" spans="2:64" ht="60" x14ac:dyDescent="0.25">
      <c r="B29" s="16" t="s">
        <v>5</v>
      </c>
      <c r="C29" s="2" t="s">
        <v>37</v>
      </c>
      <c r="D29" s="2" t="s">
        <v>38</v>
      </c>
      <c r="E29" s="2" t="s">
        <v>39</v>
      </c>
      <c r="F29" s="2" t="s">
        <v>40</v>
      </c>
      <c r="G29" s="49" t="s">
        <v>41</v>
      </c>
      <c r="H29" s="2" t="s">
        <v>130</v>
      </c>
      <c r="U29" s="124" t="s">
        <v>42</v>
      </c>
      <c r="V29" s="125" t="str">
        <f>$C$10</f>
        <v>Primary with Backup</v>
      </c>
      <c r="W29" s="125" t="str">
        <f>$C$10</f>
        <v>Primary with Backup</v>
      </c>
      <c r="X29" s="126" t="str">
        <f>$C$10</f>
        <v>Primary with Backup</v>
      </c>
      <c r="Z29" s="124" t="s">
        <v>42</v>
      </c>
      <c r="AA29" s="125" t="str">
        <f>$C$10</f>
        <v>Primary with Backup</v>
      </c>
      <c r="AB29" s="125" t="str">
        <f>$C$10</f>
        <v>Primary with Backup</v>
      </c>
      <c r="AC29" s="126" t="str">
        <f>$C$10</f>
        <v>Primary with Backup</v>
      </c>
      <c r="AD29" s="144"/>
      <c r="AE29" s="124" t="s">
        <v>42</v>
      </c>
      <c r="AF29" s="125" t="str">
        <f>$C$10</f>
        <v>Primary with Backup</v>
      </c>
      <c r="AG29" s="125" t="str">
        <f>$C$10</f>
        <v>Primary with Backup</v>
      </c>
      <c r="AH29" s="126" t="str">
        <f>$C$10</f>
        <v>Primary with Backup</v>
      </c>
      <c r="AJ29" s="124" t="s">
        <v>42</v>
      </c>
      <c r="AK29" s="125" t="str">
        <f>$C$10</f>
        <v>Primary with Backup</v>
      </c>
      <c r="AL29" s="125" t="str">
        <f>$C$10</f>
        <v>Primary with Backup</v>
      </c>
      <c r="AM29" s="126" t="str">
        <f>$C$10</f>
        <v>Primary with Backup</v>
      </c>
      <c r="AO29" s="124" t="s">
        <v>42</v>
      </c>
      <c r="AP29" s="125" t="str">
        <f>$C$10</f>
        <v>Primary with Backup</v>
      </c>
      <c r="AQ29" s="125" t="str">
        <f>$C$10</f>
        <v>Primary with Backup</v>
      </c>
      <c r="AR29" s="126" t="str">
        <f>$C$10</f>
        <v>Primary with Backup</v>
      </c>
      <c r="AT29" s="124" t="s">
        <v>42</v>
      </c>
      <c r="AU29" s="125" t="str">
        <f>$C$10</f>
        <v>Primary with Backup</v>
      </c>
      <c r="AV29" s="125" t="str">
        <f>$C$10</f>
        <v>Primary with Backup</v>
      </c>
      <c r="AW29" s="126" t="str">
        <f>$C$10</f>
        <v>Primary with Backup</v>
      </c>
      <c r="AY29" s="124" t="s">
        <v>42</v>
      </c>
      <c r="AZ29" s="125" t="str">
        <f>$C$10</f>
        <v>Primary with Backup</v>
      </c>
      <c r="BA29" s="125" t="str">
        <f>$C$10</f>
        <v>Primary with Backup</v>
      </c>
      <c r="BB29" s="126" t="str">
        <f>$C$10</f>
        <v>Primary with Backup</v>
      </c>
      <c r="BD29" s="137" t="s">
        <v>42</v>
      </c>
      <c r="BE29" s="125" t="str">
        <f>$C$10</f>
        <v>Primary with Backup</v>
      </c>
      <c r="BF29" s="125" t="str">
        <f>$C$10</f>
        <v>Primary with Backup</v>
      </c>
      <c r="BG29" s="126" t="str">
        <f>$C$10</f>
        <v>Primary with Backup</v>
      </c>
      <c r="BI29" s="124" t="s">
        <v>42</v>
      </c>
      <c r="BJ29" s="279" t="s">
        <v>295</v>
      </c>
      <c r="BK29" s="279" t="s">
        <v>295</v>
      </c>
      <c r="BL29" s="279" t="s">
        <v>295</v>
      </c>
    </row>
    <row r="30" spans="2:64" x14ac:dyDescent="0.25">
      <c r="B30" s="1">
        <v>1</v>
      </c>
      <c r="C30" s="39">
        <v>9284.9449999999997</v>
      </c>
      <c r="D30" s="39">
        <v>2576.09268742533</v>
      </c>
      <c r="E30" s="40">
        <f>D30/G30</f>
        <v>2.249912630684896</v>
      </c>
      <c r="F30" s="41">
        <f>D30</f>
        <v>2576.09268742533</v>
      </c>
      <c r="G30" s="39">
        <v>1144.9745435853399</v>
      </c>
      <c r="H30" s="1">
        <f>D30/C30</f>
        <v>0.2774483518669556</v>
      </c>
      <c r="I30" s="73"/>
      <c r="J30" s="73"/>
      <c r="T30" s="19"/>
      <c r="U30" s="127" t="s">
        <v>5</v>
      </c>
      <c r="V30" s="82">
        <v>1</v>
      </c>
      <c r="W30" s="83">
        <v>2</v>
      </c>
      <c r="X30" s="86">
        <v>3</v>
      </c>
      <c r="Z30" s="127" t="s">
        <v>5</v>
      </c>
      <c r="AA30" s="82">
        <v>1</v>
      </c>
      <c r="AB30" s="83">
        <v>2</v>
      </c>
      <c r="AC30" s="86">
        <v>3</v>
      </c>
      <c r="AD30" s="145"/>
      <c r="AE30" s="127" t="s">
        <v>5</v>
      </c>
      <c r="AF30" s="82">
        <v>1</v>
      </c>
      <c r="AG30" s="83">
        <v>2</v>
      </c>
      <c r="AH30" s="86">
        <v>3</v>
      </c>
      <c r="AJ30" s="127" t="s">
        <v>5</v>
      </c>
      <c r="AK30" s="82">
        <v>1</v>
      </c>
      <c r="AL30" s="83">
        <v>2</v>
      </c>
      <c r="AM30" s="86">
        <v>3</v>
      </c>
      <c r="AO30" s="127" t="s">
        <v>5</v>
      </c>
      <c r="AP30" s="82">
        <v>1</v>
      </c>
      <c r="AQ30" s="83">
        <v>2</v>
      </c>
      <c r="AR30" s="86">
        <v>3</v>
      </c>
      <c r="AT30" s="127" t="s">
        <v>5</v>
      </c>
      <c r="AU30" s="82">
        <v>1</v>
      </c>
      <c r="AV30" s="83">
        <v>2</v>
      </c>
      <c r="AW30" s="86">
        <v>3</v>
      </c>
      <c r="AY30" s="127" t="s">
        <v>5</v>
      </c>
      <c r="AZ30" s="85">
        <v>1</v>
      </c>
      <c r="BA30" s="83">
        <v>2</v>
      </c>
      <c r="BB30" s="84">
        <v>3</v>
      </c>
      <c r="BD30" s="138" t="s">
        <v>5</v>
      </c>
      <c r="BE30" s="85">
        <v>1</v>
      </c>
      <c r="BF30" s="83">
        <v>2</v>
      </c>
      <c r="BG30" s="84">
        <v>3</v>
      </c>
      <c r="BI30" s="138" t="s">
        <v>5</v>
      </c>
      <c r="BJ30" s="85">
        <v>1</v>
      </c>
      <c r="BK30" s="83">
        <v>2</v>
      </c>
      <c r="BL30" s="84">
        <v>3</v>
      </c>
    </row>
    <row r="31" spans="2:64" x14ac:dyDescent="0.25">
      <c r="B31" s="1">
        <v>2</v>
      </c>
      <c r="C31" s="39">
        <v>8533.39</v>
      </c>
      <c r="D31" s="39">
        <v>2383.3982632715042</v>
      </c>
      <c r="E31" s="40">
        <f>D31/G31</f>
        <v>2.3359002949734764</v>
      </c>
      <c r="F31" s="41">
        <f>D31</f>
        <v>2383.3982632715042</v>
      </c>
      <c r="G31" s="39">
        <v>1020.33390226468</v>
      </c>
      <c r="H31" s="1">
        <f>D31/C31</f>
        <v>0.27930262923310717</v>
      </c>
      <c r="T31" s="19"/>
      <c r="U31" s="128" t="s">
        <v>43</v>
      </c>
      <c r="V31" s="318"/>
      <c r="W31" s="318"/>
      <c r="X31" s="319"/>
      <c r="Z31" s="128" t="s">
        <v>43</v>
      </c>
      <c r="AA31" s="212"/>
      <c r="AB31" s="212"/>
      <c r="AC31" s="215"/>
      <c r="AD31" s="146"/>
      <c r="AE31" s="128" t="s">
        <v>43</v>
      </c>
      <c r="AF31" s="212"/>
      <c r="AG31" s="212"/>
      <c r="AH31" s="215"/>
      <c r="AJ31" s="128" t="s">
        <v>43</v>
      </c>
      <c r="AK31" s="212"/>
      <c r="AL31" s="212"/>
      <c r="AM31" s="215"/>
      <c r="AO31" s="128" t="s">
        <v>43</v>
      </c>
      <c r="AP31" s="212"/>
      <c r="AQ31" s="212"/>
      <c r="AR31" s="215"/>
      <c r="AT31" s="128" t="s">
        <v>43</v>
      </c>
      <c r="AU31" s="212"/>
      <c r="AV31" s="212"/>
      <c r="AW31" s="215"/>
      <c r="AY31" s="128" t="s">
        <v>43</v>
      </c>
      <c r="AZ31" s="212"/>
      <c r="BA31" s="212"/>
      <c r="BB31" s="215"/>
      <c r="BD31" s="139" t="s">
        <v>43</v>
      </c>
      <c r="BE31" s="212"/>
      <c r="BF31" s="212"/>
      <c r="BG31" s="215"/>
      <c r="BI31" s="139" t="s">
        <v>43</v>
      </c>
      <c r="BJ31" s="214"/>
      <c r="BK31" s="212"/>
      <c r="BL31" s="212"/>
    </row>
    <row r="32" spans="2:64" x14ac:dyDescent="0.25">
      <c r="B32" s="1">
        <v>3</v>
      </c>
      <c r="C32" s="39">
        <v>7409.4309999999996</v>
      </c>
      <c r="D32" s="39">
        <v>1293.4367419852783</v>
      </c>
      <c r="E32" s="40">
        <f>D32/G32</f>
        <v>1.2365874123915293</v>
      </c>
      <c r="F32" s="75">
        <f>H31*C32</f>
        <v>2069.4735594212902</v>
      </c>
      <c r="G32" s="39">
        <v>1045.9727545534399</v>
      </c>
      <c r="H32" t="s">
        <v>284</v>
      </c>
      <c r="I32" s="73"/>
      <c r="J32" s="73"/>
      <c r="T32" s="19"/>
      <c r="U32" s="127" t="s">
        <v>44</v>
      </c>
      <c r="V32" s="18">
        <f>$C$76</f>
        <v>31000</v>
      </c>
      <c r="W32" s="18">
        <f>$C$77</f>
        <v>30000</v>
      </c>
      <c r="X32" s="216">
        <f>$C$78</f>
        <v>35500</v>
      </c>
      <c r="Z32" s="127" t="s">
        <v>44</v>
      </c>
      <c r="AA32" s="18">
        <f>$C$76</f>
        <v>31000</v>
      </c>
      <c r="AB32" s="18">
        <f>$C$77</f>
        <v>30000</v>
      </c>
      <c r="AC32" s="216">
        <f>$C$78</f>
        <v>35500</v>
      </c>
      <c r="AD32" s="147"/>
      <c r="AE32" s="127" t="s">
        <v>44</v>
      </c>
      <c r="AF32" s="18">
        <f>$C$76</f>
        <v>31000</v>
      </c>
      <c r="AG32" s="18">
        <f>$C$77</f>
        <v>30000</v>
      </c>
      <c r="AH32" s="216">
        <f>$C$78</f>
        <v>35500</v>
      </c>
      <c r="AJ32" s="127" t="s">
        <v>44</v>
      </c>
      <c r="AK32" s="18">
        <f>$C$76</f>
        <v>31000</v>
      </c>
      <c r="AL32" s="18">
        <f>$C$77</f>
        <v>30000</v>
      </c>
      <c r="AM32" s="216">
        <f>$C$78</f>
        <v>35500</v>
      </c>
      <c r="AO32" s="127" t="s">
        <v>44</v>
      </c>
      <c r="AP32" s="18">
        <f>$C$76</f>
        <v>31000</v>
      </c>
      <c r="AQ32" s="18">
        <f>$C$77</f>
        <v>30000</v>
      </c>
      <c r="AR32" s="216">
        <f>$C$78</f>
        <v>35500</v>
      </c>
      <c r="AT32" s="127" t="s">
        <v>44</v>
      </c>
      <c r="AU32" s="18">
        <f>$C$76</f>
        <v>31000</v>
      </c>
      <c r="AV32" s="18">
        <f>$C$77</f>
        <v>30000</v>
      </c>
      <c r="AW32" s="216">
        <f>$C$78</f>
        <v>35500</v>
      </c>
      <c r="AY32" s="127" t="s">
        <v>44</v>
      </c>
      <c r="AZ32" s="18">
        <f>$C$76</f>
        <v>31000</v>
      </c>
      <c r="BA32" s="18">
        <f>$C$77</f>
        <v>30000</v>
      </c>
      <c r="BB32" s="216">
        <f>$C$78</f>
        <v>35500</v>
      </c>
      <c r="BD32" s="138" t="s">
        <v>44</v>
      </c>
      <c r="BE32" s="18">
        <f>$C$76</f>
        <v>31000</v>
      </c>
      <c r="BF32" s="18">
        <f>$C$77</f>
        <v>30000</v>
      </c>
      <c r="BG32" s="216">
        <f>$C$78</f>
        <v>35500</v>
      </c>
      <c r="BI32" s="138" t="s">
        <v>44</v>
      </c>
      <c r="BJ32" s="87">
        <f>$C$76</f>
        <v>31000</v>
      </c>
      <c r="BK32" s="18">
        <f>$C$77</f>
        <v>30000</v>
      </c>
      <c r="BL32" s="18">
        <f>$C$78</f>
        <v>35500</v>
      </c>
    </row>
    <row r="33" spans="2:64" x14ac:dyDescent="0.25">
      <c r="L33" s="73"/>
      <c r="M33" s="73"/>
      <c r="N33" s="73"/>
      <c r="O33" s="73"/>
      <c r="P33" s="73"/>
      <c r="Q33" s="73"/>
      <c r="R33" s="73"/>
      <c r="S33" s="73"/>
      <c r="U33" s="127" t="s">
        <v>45</v>
      </c>
      <c r="V33" s="43">
        <f>$F$30</f>
        <v>2576.09268742533</v>
      </c>
      <c r="W33" s="43">
        <f>$F$31</f>
        <v>2383.3982632715042</v>
      </c>
      <c r="X33" s="89">
        <f>$F$32</f>
        <v>2069.4735594212902</v>
      </c>
      <c r="Z33" s="127" t="s">
        <v>45</v>
      </c>
      <c r="AA33" s="43">
        <f>$F$30</f>
        <v>2576.09268742533</v>
      </c>
      <c r="AB33" s="43">
        <f>$F$31</f>
        <v>2383.3982632715042</v>
      </c>
      <c r="AC33" s="89">
        <f>$F$32</f>
        <v>2069.4735594212902</v>
      </c>
      <c r="AD33" s="148"/>
      <c r="AE33" s="127" t="s">
        <v>45</v>
      </c>
      <c r="AF33" s="43">
        <f>$F$30</f>
        <v>2576.09268742533</v>
      </c>
      <c r="AG33" s="43">
        <f>$F$31</f>
        <v>2383.3982632715042</v>
      </c>
      <c r="AH33" s="89">
        <f>$F$32</f>
        <v>2069.4735594212902</v>
      </c>
      <c r="AJ33" s="127" t="s">
        <v>45</v>
      </c>
      <c r="AK33" s="43">
        <f>$F$30</f>
        <v>2576.09268742533</v>
      </c>
      <c r="AL33" s="43">
        <f>$F$31</f>
        <v>2383.3982632715042</v>
      </c>
      <c r="AM33" s="89">
        <f>$F$32</f>
        <v>2069.4735594212902</v>
      </c>
      <c r="AO33" s="127" t="s">
        <v>45</v>
      </c>
      <c r="AP33" s="43">
        <f>$F$30</f>
        <v>2576.09268742533</v>
      </c>
      <c r="AQ33" s="43">
        <f>$F$31</f>
        <v>2383.3982632715042</v>
      </c>
      <c r="AR33" s="89">
        <f>$F$32</f>
        <v>2069.4735594212902</v>
      </c>
      <c r="AT33" s="127" t="s">
        <v>45</v>
      </c>
      <c r="AU33" s="43">
        <f>$F$30</f>
        <v>2576.09268742533</v>
      </c>
      <c r="AV33" s="43">
        <f>$F$31</f>
        <v>2383.3982632715042</v>
      </c>
      <c r="AW33" s="89">
        <f>$F$32</f>
        <v>2069.4735594212902</v>
      </c>
      <c r="AY33" s="127" t="s">
        <v>45</v>
      </c>
      <c r="AZ33" s="43">
        <f>$F$30</f>
        <v>2576.09268742533</v>
      </c>
      <c r="BA33" s="43">
        <f>$F$31</f>
        <v>2383.3982632715042</v>
      </c>
      <c r="BB33" s="89">
        <f>$F$32</f>
        <v>2069.4735594212902</v>
      </c>
      <c r="BD33" s="138" t="s">
        <v>45</v>
      </c>
      <c r="BE33" s="43">
        <f>$F$30</f>
        <v>2576.09268742533</v>
      </c>
      <c r="BF33" s="43">
        <f>$F$31</f>
        <v>2383.3982632715042</v>
      </c>
      <c r="BG33" s="89">
        <f>$F$32</f>
        <v>2069.4735594212902</v>
      </c>
      <c r="BI33" s="138" t="s">
        <v>45</v>
      </c>
      <c r="BJ33" s="88">
        <f>$F$30</f>
        <v>2576.09268742533</v>
      </c>
      <c r="BK33" s="43">
        <f>$F$31</f>
        <v>2383.3982632715042</v>
      </c>
      <c r="BL33" s="43">
        <f>$F$32</f>
        <v>2069.4735594212902</v>
      </c>
    </row>
    <row r="34" spans="2:64" x14ac:dyDescent="0.25">
      <c r="B34" s="15" t="s">
        <v>277</v>
      </c>
      <c r="C34" s="15"/>
      <c r="D34" s="320" t="s">
        <v>46</v>
      </c>
      <c r="E34" s="321"/>
      <c r="F34" s="321"/>
      <c r="G34" s="321"/>
      <c r="H34" s="322"/>
      <c r="I34" s="320" t="s">
        <v>47</v>
      </c>
      <c r="J34" s="321"/>
      <c r="K34" s="321"/>
      <c r="L34" s="321"/>
      <c r="M34" s="322"/>
      <c r="N34" s="323" t="s">
        <v>48</v>
      </c>
      <c r="O34" s="324"/>
      <c r="P34" s="324"/>
      <c r="Q34" s="324"/>
      <c r="R34" s="324"/>
      <c r="S34" s="327"/>
      <c r="U34" s="127" t="s">
        <v>301</v>
      </c>
      <c r="V34" s="194">
        <f>$C$79</f>
        <v>10</v>
      </c>
      <c r="W34" s="194">
        <f>$C$79</f>
        <v>10</v>
      </c>
      <c r="X34" s="217">
        <f>$C$79</f>
        <v>10</v>
      </c>
      <c r="Z34" s="127" t="s">
        <v>49</v>
      </c>
      <c r="AA34" s="194">
        <f>$C$79</f>
        <v>10</v>
      </c>
      <c r="AB34" s="194">
        <f>$C$79</f>
        <v>10</v>
      </c>
      <c r="AC34" s="217">
        <f>$C$79</f>
        <v>10</v>
      </c>
      <c r="AE34" s="127" t="s">
        <v>49</v>
      </c>
      <c r="AF34" s="194">
        <f>$C$79</f>
        <v>10</v>
      </c>
      <c r="AG34" s="194">
        <f>$C$79</f>
        <v>10</v>
      </c>
      <c r="AH34" s="194">
        <f>$C$79</f>
        <v>10</v>
      </c>
      <c r="AJ34" s="127" t="s">
        <v>49</v>
      </c>
      <c r="AK34" s="194">
        <f>$C$79</f>
        <v>10</v>
      </c>
      <c r="AL34" s="194">
        <f>$C$79</f>
        <v>10</v>
      </c>
      <c r="AM34" s="217">
        <f>$C$79</f>
        <v>10</v>
      </c>
      <c r="AO34" s="127" t="s">
        <v>49</v>
      </c>
      <c r="AP34" s="194">
        <f>$C$79</f>
        <v>10</v>
      </c>
      <c r="AQ34" s="194">
        <f>$C$79</f>
        <v>10</v>
      </c>
      <c r="AR34" s="217">
        <f>$C$79</f>
        <v>10</v>
      </c>
      <c r="AT34" s="127" t="s">
        <v>49</v>
      </c>
      <c r="AU34" s="194">
        <f>$C$79</f>
        <v>10</v>
      </c>
      <c r="AV34" s="194">
        <f>$C$79</f>
        <v>10</v>
      </c>
      <c r="AW34" s="217">
        <f>$C$79</f>
        <v>10</v>
      </c>
      <c r="AY34" s="127" t="s">
        <v>49</v>
      </c>
      <c r="AZ34" s="194">
        <f>$C$79</f>
        <v>10</v>
      </c>
      <c r="BA34" s="194">
        <f>$C$79</f>
        <v>10</v>
      </c>
      <c r="BB34" s="217">
        <f>$C$79</f>
        <v>10</v>
      </c>
      <c r="BD34" s="138" t="s">
        <v>49</v>
      </c>
      <c r="BE34" s="194">
        <f>$C$79</f>
        <v>10</v>
      </c>
      <c r="BF34" s="194">
        <f>$C$79</f>
        <v>10</v>
      </c>
      <c r="BG34" s="217">
        <f>$C$79</f>
        <v>10</v>
      </c>
      <c r="BI34" s="138" t="s">
        <v>49</v>
      </c>
      <c r="BJ34" s="181">
        <f>$C$79</f>
        <v>10</v>
      </c>
      <c r="BK34" s="194">
        <f>$C$79</f>
        <v>10</v>
      </c>
      <c r="BL34" s="194">
        <f>$C$79</f>
        <v>10</v>
      </c>
    </row>
    <row r="35" spans="2:64" ht="33.6" customHeight="1" x14ac:dyDescent="0.25">
      <c r="B35" s="20" t="s">
        <v>50</v>
      </c>
      <c r="C35" s="20" t="s">
        <v>51</v>
      </c>
      <c r="D35" s="20" t="s">
        <v>52</v>
      </c>
      <c r="E35" s="20" t="s">
        <v>53</v>
      </c>
      <c r="F35" s="20" t="s">
        <v>298</v>
      </c>
      <c r="G35" s="20" t="s">
        <v>276</v>
      </c>
      <c r="H35" s="20" t="s">
        <v>280</v>
      </c>
      <c r="I35" s="20" t="s">
        <v>52</v>
      </c>
      <c r="J35" s="20" t="s">
        <v>53</v>
      </c>
      <c r="K35" s="20" t="s">
        <v>298</v>
      </c>
      <c r="L35" s="20" t="s">
        <v>276</v>
      </c>
      <c r="M35" s="20" t="s">
        <v>280</v>
      </c>
      <c r="N35" s="20" t="s">
        <v>52</v>
      </c>
      <c r="O35" s="20" t="s">
        <v>53</v>
      </c>
      <c r="P35" s="20" t="s">
        <v>298</v>
      </c>
      <c r="Q35" s="20" t="s">
        <v>276</v>
      </c>
      <c r="R35" s="20" t="s">
        <v>280</v>
      </c>
      <c r="S35" s="327"/>
      <c r="U35" s="129" t="s">
        <v>312</v>
      </c>
      <c r="V35" s="280">
        <f>VLOOKUP($C$11,'ASHP Derating Scale'!$M$7:$Z$26,6,FALSE)</f>
        <v>0.8977125766785774</v>
      </c>
      <c r="W35" s="280">
        <f>VLOOKUP($C$11,'ASHP Derating Scale'!$M$7:$Z$26,10,FALSE)</f>
        <v>0.88698403632967537</v>
      </c>
      <c r="X35" s="280">
        <f>VLOOKUP($C$11,'ASHP Derating Scale'!$M$7:$Z$26,14,FALSE)</f>
        <v>0.88298348862287701</v>
      </c>
      <c r="Z35" s="129" t="s">
        <v>312</v>
      </c>
      <c r="AA35" s="280">
        <f>VLOOKUP($C$11,'ASHP Derating Scale'!$M$7:$Z$26,6,FALSE)</f>
        <v>0.8977125766785774</v>
      </c>
      <c r="AB35" s="280">
        <f>VLOOKUP($C$11,'ASHP Derating Scale'!$M$7:$Z$26,10,FALSE)</f>
        <v>0.88698403632967537</v>
      </c>
      <c r="AC35" s="280">
        <f>VLOOKUP($C$11,'ASHP Derating Scale'!$M$7:$Z$26,14,FALSE)</f>
        <v>0.88298348862287701</v>
      </c>
      <c r="AE35" s="129" t="s">
        <v>312</v>
      </c>
      <c r="AF35" s="280">
        <f>VLOOKUP($C$11,'ASHP Derating Scale'!$M$7:$Z$26,6,FALSE)</f>
        <v>0.8977125766785774</v>
      </c>
      <c r="AG35" s="280">
        <f>VLOOKUP($C$11,'ASHP Derating Scale'!$M$7:$Z$26,10,FALSE)</f>
        <v>0.88698403632967537</v>
      </c>
      <c r="AH35" s="280">
        <f>VLOOKUP($C$11,'ASHP Derating Scale'!$M$7:$Z$26,14,FALSE)</f>
        <v>0.88298348862287701</v>
      </c>
      <c r="AJ35" s="129" t="s">
        <v>312</v>
      </c>
      <c r="AK35" s="280">
        <f>VLOOKUP($C$11,'ASHP Derating Scale'!$M$7:$Z$26,6,FALSE)</f>
        <v>0.8977125766785774</v>
      </c>
      <c r="AL35" s="280">
        <f>VLOOKUP($C$11,'ASHP Derating Scale'!$M$7:$Z$26,10,FALSE)</f>
        <v>0.88698403632967537</v>
      </c>
      <c r="AM35" s="280">
        <f>VLOOKUP($C$11,'ASHP Derating Scale'!$M$7:$Z$26,14,FALSE)</f>
        <v>0.88298348862287701</v>
      </c>
      <c r="AO35" s="129" t="s">
        <v>312</v>
      </c>
      <c r="AP35" s="280">
        <f>VLOOKUP($C$11,'ASHP Derating Scale'!$M$7:$Z$26,6,FALSE)</f>
        <v>0.8977125766785774</v>
      </c>
      <c r="AQ35" s="280">
        <f>VLOOKUP($C$11,'ASHP Derating Scale'!$M$7:$Z$26,10,FALSE)</f>
        <v>0.88698403632967537</v>
      </c>
      <c r="AR35" s="280">
        <f>VLOOKUP($C$11,'ASHP Derating Scale'!$M$7:$Z$26,14,FALSE)</f>
        <v>0.88298348862287701</v>
      </c>
      <c r="AT35" s="129" t="s">
        <v>312</v>
      </c>
      <c r="AU35" s="280">
        <f>VLOOKUP($C$11,'ASHP Derating Scale'!$M$7:$Z$26,6,FALSE)</f>
        <v>0.8977125766785774</v>
      </c>
      <c r="AV35" s="280">
        <f>VLOOKUP($C$11,'ASHP Derating Scale'!$M$7:$Z$26,10,FALSE)</f>
        <v>0.88698403632967537</v>
      </c>
      <c r="AW35" s="280">
        <f>VLOOKUP($C$11,'ASHP Derating Scale'!$M$7:$Z$26,14,FALSE)</f>
        <v>0.88298348862287701</v>
      </c>
      <c r="AY35" s="129" t="s">
        <v>312</v>
      </c>
      <c r="AZ35" s="280">
        <f>VLOOKUP($C$11,'ASHP Derating Scale'!$M$7:$Z$26,6,FALSE)</f>
        <v>0.8977125766785774</v>
      </c>
      <c r="BA35" s="280">
        <f>VLOOKUP($C$11,'ASHP Derating Scale'!$M$7:$Z$26,10,FALSE)</f>
        <v>0.88698403632967537</v>
      </c>
      <c r="BB35" s="280">
        <f>VLOOKUP($C$11,'ASHP Derating Scale'!$M$7:$Z$26,14,FALSE)</f>
        <v>0.88298348862287701</v>
      </c>
      <c r="BD35" s="129" t="s">
        <v>312</v>
      </c>
      <c r="BE35" s="280">
        <f>VLOOKUP($C$11,'ASHP Derating Scale'!$M$7:$Z$26,6,FALSE)</f>
        <v>0.8977125766785774</v>
      </c>
      <c r="BF35" s="280">
        <f>VLOOKUP($C$11,'ASHP Derating Scale'!$M$7:$Z$26,10,FALSE)</f>
        <v>0.88698403632967537</v>
      </c>
      <c r="BG35" s="280">
        <f>VLOOKUP($C$11,'ASHP Derating Scale'!$M$7:$Z$26,14,FALSE)</f>
        <v>0.88298348862287701</v>
      </c>
      <c r="BI35" s="129" t="s">
        <v>312</v>
      </c>
      <c r="BJ35" s="280">
        <f>VLOOKUP($C$11,'ASHP Derating Scale'!$M$7:$Z$26,6,FALSE)</f>
        <v>0.8977125766785774</v>
      </c>
      <c r="BK35" s="280">
        <f>VLOOKUP($C$11,'ASHP Derating Scale'!$M$7:$Z$26,10,FALSE)</f>
        <v>0.88698403632967537</v>
      </c>
      <c r="BL35" s="280">
        <f>VLOOKUP($C$11,'ASHP Derating Scale'!$M$7:$Z$26,14,FALSE)</f>
        <v>0.88298348862287701</v>
      </c>
    </row>
    <row r="36" spans="2:64" x14ac:dyDescent="0.25">
      <c r="B36" s="268">
        <v>100</v>
      </c>
      <c r="C36" s="268">
        <v>105</v>
      </c>
      <c r="D36" s="1">
        <f>B36+2.5</f>
        <v>102.5</v>
      </c>
      <c r="E36" s="1">
        <f>'SAS MN Bin Data by Zone'!H3</f>
        <v>0</v>
      </c>
      <c r="F36" s="12"/>
      <c r="G36" s="45">
        <f t="shared" ref="G36:G66" si="0">IF(D36&lt;=60,IF(D36&lt;&gt;"",1.08*($C$14-D36)*$C$13,0),0)</f>
        <v>0</v>
      </c>
      <c r="H36" s="45">
        <f t="shared" ref="H36:H66" si="1">G36*E36</f>
        <v>0</v>
      </c>
      <c r="I36" s="1">
        <f t="shared" ref="I36:I66" si="2">D36</f>
        <v>102.5</v>
      </c>
      <c r="J36" s="1">
        <f>'SAS MN Bin Data by Zone'!M3</f>
        <v>0</v>
      </c>
      <c r="K36" s="12"/>
      <c r="L36" s="45">
        <f t="shared" ref="L36:L44" si="3">IF(I36&lt;=60,IF(I36&lt;&gt;"",1.08*($C$14-I36)*$C$13,0),0)</f>
        <v>0</v>
      </c>
      <c r="M36" s="45">
        <f t="shared" ref="M36:M44" si="4">L36*J36</f>
        <v>0</v>
      </c>
      <c r="N36" s="1">
        <f>I36</f>
        <v>102.5</v>
      </c>
      <c r="O36" s="1">
        <f>'SAS MN Bin Data by Zone'!R3</f>
        <v>1</v>
      </c>
      <c r="P36" s="12"/>
      <c r="Q36" s="45">
        <f t="shared" ref="Q36:Q44" si="5">IF(N36&lt;=60,IF(N36&lt;&gt;"",1.08*($C$14-N36)*$C$13,0),0)</f>
        <v>0</v>
      </c>
      <c r="R36" s="45">
        <f t="shared" ref="R36:R44" si="6">Q36*O36</f>
        <v>0</v>
      </c>
      <c r="S36" s="147"/>
      <c r="U36" s="127" t="s">
        <v>313</v>
      </c>
      <c r="V36" s="70">
        <f>ROUND(V35*V34,2)</f>
        <v>8.98</v>
      </c>
      <c r="W36" s="70">
        <f t="shared" ref="W36:X36" si="7">W35*W34</f>
        <v>8.8698403632967544</v>
      </c>
      <c r="X36" s="70">
        <f t="shared" si="7"/>
        <v>8.8298348862287703</v>
      </c>
      <c r="Z36" s="127" t="s">
        <v>313</v>
      </c>
      <c r="AA36" s="70">
        <f>AA35*AA34</f>
        <v>8.9771257667857736</v>
      </c>
      <c r="AB36" s="70">
        <f t="shared" ref="AB36" si="8">AB35*AB34</f>
        <v>8.8698403632967544</v>
      </c>
      <c r="AC36" s="70">
        <f t="shared" ref="AC36" si="9">AC35*AC34</f>
        <v>8.8298348862287703</v>
      </c>
      <c r="AE36" s="127" t="s">
        <v>313</v>
      </c>
      <c r="AF36" s="70">
        <f>AF35*AF34</f>
        <v>8.9771257667857736</v>
      </c>
      <c r="AG36" s="70">
        <f t="shared" ref="AG36" si="10">AG35*AG34</f>
        <v>8.8698403632967544</v>
      </c>
      <c r="AH36" s="70">
        <f t="shared" ref="AH36" si="11">AH35*AH34</f>
        <v>8.8298348862287703</v>
      </c>
      <c r="AJ36" s="127" t="s">
        <v>313</v>
      </c>
      <c r="AK36" s="70">
        <f>AK35*AK34</f>
        <v>8.9771257667857736</v>
      </c>
      <c r="AL36" s="70">
        <f t="shared" ref="AL36" si="12">AL35*AL34</f>
        <v>8.8698403632967544</v>
      </c>
      <c r="AM36" s="70">
        <f t="shared" ref="AM36" si="13">AM35*AM34</f>
        <v>8.8298348862287703</v>
      </c>
      <c r="AO36" s="127" t="s">
        <v>313</v>
      </c>
      <c r="AP36" s="70">
        <f>AP35*AP34</f>
        <v>8.9771257667857736</v>
      </c>
      <c r="AQ36" s="70">
        <f t="shared" ref="AQ36" si="14">AQ35*AQ34</f>
        <v>8.8698403632967544</v>
      </c>
      <c r="AR36" s="70">
        <f t="shared" ref="AR36" si="15">AR35*AR34</f>
        <v>8.8298348862287703</v>
      </c>
      <c r="AT36" s="127" t="s">
        <v>313</v>
      </c>
      <c r="AU36" s="70">
        <f>AU35*AU34</f>
        <v>8.9771257667857736</v>
      </c>
      <c r="AV36" s="70">
        <f t="shared" ref="AV36" si="16">AV35*AV34</f>
        <v>8.8698403632967544</v>
      </c>
      <c r="AW36" s="70">
        <f t="shared" ref="AW36" si="17">AW35*AW34</f>
        <v>8.8298348862287703</v>
      </c>
      <c r="AY36" s="127" t="s">
        <v>313</v>
      </c>
      <c r="AZ36" s="70">
        <f>AZ35*AZ34</f>
        <v>8.9771257667857736</v>
      </c>
      <c r="BA36" s="70">
        <f t="shared" ref="BA36" si="18">BA35*BA34</f>
        <v>8.8698403632967544</v>
      </c>
      <c r="BB36" s="70">
        <f t="shared" ref="BB36" si="19">BB35*BB34</f>
        <v>8.8298348862287703</v>
      </c>
      <c r="BD36" s="127" t="s">
        <v>313</v>
      </c>
      <c r="BE36" s="70">
        <f>BE35*BE34</f>
        <v>8.9771257667857736</v>
      </c>
      <c r="BF36" s="70">
        <f t="shared" ref="BF36" si="20">BF35*BF34</f>
        <v>8.8698403632967544</v>
      </c>
      <c r="BG36" s="70">
        <f t="shared" ref="BG36" si="21">BG35*BG34</f>
        <v>8.8298348862287703</v>
      </c>
      <c r="BI36" s="127" t="s">
        <v>313</v>
      </c>
      <c r="BJ36" s="70">
        <f>BJ35*BJ34</f>
        <v>8.9771257667857736</v>
      </c>
      <c r="BK36" s="70">
        <f t="shared" ref="BK36" si="22">BK35*BK34</f>
        <v>8.8698403632967544</v>
      </c>
      <c r="BL36" s="70">
        <f t="shared" ref="BL36" si="23">BL35*BL34</f>
        <v>8.8298348862287703</v>
      </c>
    </row>
    <row r="37" spans="2:64" x14ac:dyDescent="0.25">
      <c r="B37" s="268">
        <v>95</v>
      </c>
      <c r="C37" s="268">
        <v>100</v>
      </c>
      <c r="D37" s="1">
        <f t="shared" ref="D37:D66" si="24">B37+2.5</f>
        <v>97.5</v>
      </c>
      <c r="E37" s="1">
        <f>'SAS MN Bin Data by Zone'!H4</f>
        <v>0</v>
      </c>
      <c r="F37" s="12"/>
      <c r="G37" s="45">
        <f t="shared" si="0"/>
        <v>0</v>
      </c>
      <c r="H37" s="45">
        <f t="shared" si="1"/>
        <v>0</v>
      </c>
      <c r="I37" s="1">
        <f t="shared" si="2"/>
        <v>97.5</v>
      </c>
      <c r="J37" s="1">
        <f>'SAS MN Bin Data by Zone'!M4</f>
        <v>2</v>
      </c>
      <c r="K37" s="12"/>
      <c r="L37" s="45">
        <f t="shared" si="3"/>
        <v>0</v>
      </c>
      <c r="M37" s="45">
        <f t="shared" si="4"/>
        <v>0</v>
      </c>
      <c r="N37" s="1">
        <f t="shared" ref="N37:N66" si="25">I37</f>
        <v>97.5</v>
      </c>
      <c r="O37" s="1">
        <f>'SAS MN Bin Data by Zone'!R4</f>
        <v>6</v>
      </c>
      <c r="P37" s="12"/>
      <c r="Q37" s="45">
        <f t="shared" si="5"/>
        <v>0</v>
      </c>
      <c r="R37" s="45">
        <f t="shared" si="6"/>
        <v>0</v>
      </c>
      <c r="S37" s="147"/>
      <c r="U37" s="127" t="s">
        <v>54</v>
      </c>
      <c r="V37" s="45">
        <f>V32/(V34*0.293)</f>
        <v>10580.204778156998</v>
      </c>
      <c r="W37" s="45">
        <f>W32/(W34*0.293)</f>
        <v>10238.907849829353</v>
      </c>
      <c r="X37" s="91">
        <f>X32/(X34*0.293)</f>
        <v>12116.040955631401</v>
      </c>
      <c r="Z37" s="127" t="s">
        <v>54</v>
      </c>
      <c r="AA37" s="45">
        <f>AA32/(AA34*0.293)</f>
        <v>10580.204778156998</v>
      </c>
      <c r="AB37" s="45">
        <f>AB32/(AB34*0.293)</f>
        <v>10238.907849829353</v>
      </c>
      <c r="AC37" s="91">
        <f>AC32/(AC34*0.293)</f>
        <v>12116.040955631401</v>
      </c>
      <c r="AD37" s="147"/>
      <c r="AE37" s="127" t="s">
        <v>54</v>
      </c>
      <c r="AF37" s="45">
        <f>AF32/(AF34*0.293)</f>
        <v>10580.204778156998</v>
      </c>
      <c r="AG37" s="45">
        <f>AG32/(AG34*0.293)</f>
        <v>10238.907849829353</v>
      </c>
      <c r="AH37" s="91">
        <f>AH32/(AH34*0.293)</f>
        <v>12116.040955631401</v>
      </c>
      <c r="AJ37" s="127" t="s">
        <v>54</v>
      </c>
      <c r="AK37" s="45">
        <f>AK32/(AK34*0.293)</f>
        <v>10580.204778156998</v>
      </c>
      <c r="AL37" s="45">
        <f>AL32/(AL34*0.293)</f>
        <v>10238.907849829353</v>
      </c>
      <c r="AM37" s="91">
        <f>AM32/(AM34*0.293)</f>
        <v>12116.040955631401</v>
      </c>
      <c r="AO37" s="127" t="s">
        <v>54</v>
      </c>
      <c r="AP37" s="45">
        <f>AP32/(AP34*0.293)</f>
        <v>10580.204778156998</v>
      </c>
      <c r="AQ37" s="45">
        <f>AQ32/(AQ34*0.293)</f>
        <v>10238.907849829353</v>
      </c>
      <c r="AR37" s="91">
        <f>AR32/(AR34*0.293)</f>
        <v>12116.040955631401</v>
      </c>
      <c r="AT37" s="127" t="s">
        <v>54</v>
      </c>
      <c r="AU37" s="45">
        <f>AU32/(AU34*0.293)</f>
        <v>10580.204778156998</v>
      </c>
      <c r="AV37" s="45">
        <f>AV32/(AV34*0.293)</f>
        <v>10238.907849829353</v>
      </c>
      <c r="AW37" s="91">
        <f>AW32/(AW34*0.293)</f>
        <v>12116.040955631401</v>
      </c>
      <c r="AY37" s="127" t="s">
        <v>54</v>
      </c>
      <c r="AZ37" s="45">
        <f>AZ32/(AZ34*0.293)</f>
        <v>10580.204778156998</v>
      </c>
      <c r="BA37" s="45">
        <f>BA32/(BA34*0.293)</f>
        <v>10238.907849829353</v>
      </c>
      <c r="BB37" s="91">
        <f>BB32/(BB34*0.293)</f>
        <v>12116.040955631401</v>
      </c>
      <c r="BD37" s="138" t="s">
        <v>54</v>
      </c>
      <c r="BE37" s="45">
        <f>BE32/(BE34*0.293)</f>
        <v>10580.204778156998</v>
      </c>
      <c r="BF37" s="45">
        <f>BF32/(BF34*0.293)</f>
        <v>10238.907849829353</v>
      </c>
      <c r="BG37" s="91">
        <f>BG32/(BG34*0.293)</f>
        <v>12116.040955631401</v>
      </c>
      <c r="BI37" s="138" t="s">
        <v>54</v>
      </c>
      <c r="BJ37" s="90">
        <f>BJ32/(BJ34*0.293)</f>
        <v>10580.204778156998</v>
      </c>
      <c r="BK37" s="45">
        <f>BK32/(BK34*0.293)</f>
        <v>10238.907849829353</v>
      </c>
      <c r="BL37" s="45">
        <f>BL32/(BL34*0.293)</f>
        <v>12116.040955631401</v>
      </c>
    </row>
    <row r="38" spans="2:64" x14ac:dyDescent="0.25">
      <c r="B38" s="268">
        <v>90</v>
      </c>
      <c r="C38" s="268">
        <v>95</v>
      </c>
      <c r="D38" s="1">
        <f t="shared" si="24"/>
        <v>92.5</v>
      </c>
      <c r="E38" s="1">
        <f>'SAS MN Bin Data by Zone'!H5</f>
        <v>2.5</v>
      </c>
      <c r="F38" s="12"/>
      <c r="G38" s="45">
        <f t="shared" si="0"/>
        <v>0</v>
      </c>
      <c r="H38" s="45">
        <f t="shared" si="1"/>
        <v>0</v>
      </c>
      <c r="I38" s="1">
        <f t="shared" si="2"/>
        <v>92.5</v>
      </c>
      <c r="J38" s="1">
        <f>'SAS MN Bin Data by Zone'!M5</f>
        <v>18</v>
      </c>
      <c r="K38" s="12"/>
      <c r="L38" s="45">
        <f t="shared" si="3"/>
        <v>0</v>
      </c>
      <c r="M38" s="45">
        <f t="shared" si="4"/>
        <v>0</v>
      </c>
      <c r="N38" s="1">
        <f t="shared" si="25"/>
        <v>92.5</v>
      </c>
      <c r="O38" s="1">
        <f>'SAS MN Bin Data by Zone'!R5</f>
        <v>39</v>
      </c>
      <c r="P38" s="12"/>
      <c r="Q38" s="45">
        <f t="shared" si="5"/>
        <v>0</v>
      </c>
      <c r="R38" s="45">
        <f t="shared" si="6"/>
        <v>0</v>
      </c>
      <c r="S38" s="147"/>
      <c r="U38" s="26" t="s">
        <v>55</v>
      </c>
      <c r="V38" s="59">
        <f>(V32*V33/1000)</f>
        <v>79858.873310185241</v>
      </c>
      <c r="W38" s="59">
        <f>(W32*W33/1000)</f>
        <v>71501.947898145125</v>
      </c>
      <c r="X38" s="93">
        <f>(X32*X33/1000)</f>
        <v>73466.311359455809</v>
      </c>
      <c r="Z38" s="26" t="s">
        <v>55</v>
      </c>
      <c r="AA38" s="59">
        <f>(AA32*AA33/1000)</f>
        <v>79858.873310185241</v>
      </c>
      <c r="AB38" s="59">
        <f>(AB32*AB33/1000)</f>
        <v>71501.947898145125</v>
      </c>
      <c r="AC38" s="93">
        <f>(AC32*AC33/1000)</f>
        <v>73466.311359455809</v>
      </c>
      <c r="AD38" s="149"/>
      <c r="AE38" s="26" t="s">
        <v>55</v>
      </c>
      <c r="AF38" s="59">
        <f>(AF32*AF33/1000)</f>
        <v>79858.873310185241</v>
      </c>
      <c r="AG38" s="59">
        <f>(AG32*AG33/1000)</f>
        <v>71501.947898145125</v>
      </c>
      <c r="AH38" s="93">
        <f>(AH32*AH33/1000)</f>
        <v>73466.311359455809</v>
      </c>
      <c r="AJ38" s="26" t="s">
        <v>55</v>
      </c>
      <c r="AK38" s="59">
        <f>(AK32*AK33/1000)</f>
        <v>79858.873310185241</v>
      </c>
      <c r="AL38" s="59">
        <f>(AL32*AL33/1000)</f>
        <v>71501.947898145125</v>
      </c>
      <c r="AM38" s="93">
        <f>(AM32*AM33/1000)</f>
        <v>73466.311359455809</v>
      </c>
      <c r="AO38" s="26" t="s">
        <v>55</v>
      </c>
      <c r="AP38" s="59">
        <f>(AP32*AP33/1000)</f>
        <v>79858.873310185241</v>
      </c>
      <c r="AQ38" s="59">
        <f>(AQ32*AQ33/1000)</f>
        <v>71501.947898145125</v>
      </c>
      <c r="AR38" s="93">
        <f>(AR32*AR33/1000)</f>
        <v>73466.311359455809</v>
      </c>
      <c r="AT38" s="26" t="s">
        <v>55</v>
      </c>
      <c r="AU38" s="59">
        <f>(AU32*AU33/1000)</f>
        <v>79858.873310185241</v>
      </c>
      <c r="AV38" s="59">
        <f>(AV32*AV33/1000)</f>
        <v>71501.947898145125</v>
      </c>
      <c r="AW38" s="93">
        <f>(AW32*AW33/1000)</f>
        <v>73466.311359455809</v>
      </c>
      <c r="AY38" s="26" t="s">
        <v>55</v>
      </c>
      <c r="AZ38" s="59">
        <f>(AZ32*AZ33/1000)</f>
        <v>79858.873310185241</v>
      </c>
      <c r="BA38" s="59">
        <f>(BA32*BA33/1000)</f>
        <v>71501.947898145125</v>
      </c>
      <c r="BB38" s="93">
        <f>(BB32*BB33/1000)</f>
        <v>73466.311359455809</v>
      </c>
      <c r="BC38" s="192"/>
      <c r="BD38" s="140" t="s">
        <v>55</v>
      </c>
      <c r="BE38" s="59">
        <f>(BE32*BE33/1000)</f>
        <v>79858.873310185241</v>
      </c>
      <c r="BF38" s="59">
        <f>(BF32*BF33/1000)</f>
        <v>71501.947898145125</v>
      </c>
      <c r="BG38" s="93">
        <f>(BG32*BG33/1000)</f>
        <v>73466.311359455809</v>
      </c>
      <c r="BI38" s="138" t="s">
        <v>55</v>
      </c>
      <c r="BJ38" s="92">
        <f>(BJ32*BJ33/1000)</f>
        <v>79858.873310185241</v>
      </c>
      <c r="BK38" s="59">
        <f>(BK32*BK33/1000)</f>
        <v>71501.947898145125</v>
      </c>
      <c r="BL38" s="59">
        <f>(BL32*BL33/1000)</f>
        <v>73466.311359455809</v>
      </c>
    </row>
    <row r="39" spans="2:64" x14ac:dyDescent="0.25">
      <c r="B39" s="268">
        <v>85</v>
      </c>
      <c r="C39" s="268">
        <v>90</v>
      </c>
      <c r="D39" s="1">
        <f t="shared" si="24"/>
        <v>87.5</v>
      </c>
      <c r="E39" s="1">
        <f>'SAS MN Bin Data by Zone'!H6</f>
        <v>30</v>
      </c>
      <c r="F39" s="12"/>
      <c r="G39" s="45">
        <f t="shared" si="0"/>
        <v>0</v>
      </c>
      <c r="H39" s="45">
        <f t="shared" si="1"/>
        <v>0</v>
      </c>
      <c r="I39" s="1">
        <f t="shared" si="2"/>
        <v>87.5</v>
      </c>
      <c r="J39" s="1">
        <f>'SAS MN Bin Data by Zone'!M6</f>
        <v>73</v>
      </c>
      <c r="K39" s="12"/>
      <c r="L39" s="45">
        <f t="shared" si="3"/>
        <v>0</v>
      </c>
      <c r="M39" s="45">
        <f t="shared" si="4"/>
        <v>0</v>
      </c>
      <c r="N39" s="1">
        <f t="shared" si="25"/>
        <v>87.5</v>
      </c>
      <c r="O39" s="1">
        <f>'SAS MN Bin Data by Zone'!R6</f>
        <v>144</v>
      </c>
      <c r="P39" s="12"/>
      <c r="Q39" s="45">
        <f t="shared" si="5"/>
        <v>0</v>
      </c>
      <c r="R39" s="45">
        <f t="shared" si="6"/>
        <v>0</v>
      </c>
      <c r="S39" s="147"/>
      <c r="U39" s="128" t="s">
        <v>56</v>
      </c>
      <c r="V39" s="265"/>
      <c r="W39" s="265"/>
      <c r="X39" s="266"/>
      <c r="Z39" s="128" t="s">
        <v>56</v>
      </c>
      <c r="AA39" s="212"/>
      <c r="AB39" s="212"/>
      <c r="AC39" s="215"/>
      <c r="AD39" s="146"/>
      <c r="AE39" s="128" t="s">
        <v>56</v>
      </c>
      <c r="AF39" s="212"/>
      <c r="AG39" s="212"/>
      <c r="AH39" s="215"/>
      <c r="AJ39" s="128" t="s">
        <v>56</v>
      </c>
      <c r="AK39" s="212"/>
      <c r="AL39" s="212"/>
      <c r="AM39" s="215"/>
      <c r="AO39" s="128" t="s">
        <v>56</v>
      </c>
      <c r="AP39" s="212"/>
      <c r="AQ39" s="212"/>
      <c r="AR39" s="215"/>
      <c r="AT39" s="128" t="s">
        <v>56</v>
      </c>
      <c r="AU39" s="212"/>
      <c r="AV39" s="212"/>
      <c r="AW39" s="215"/>
      <c r="AY39" s="128" t="s">
        <v>56</v>
      </c>
      <c r="AZ39" s="212"/>
      <c r="BA39" s="212"/>
      <c r="BB39" s="215"/>
      <c r="BD39" s="139" t="s">
        <v>56</v>
      </c>
      <c r="BE39" s="212"/>
      <c r="BF39" s="212"/>
      <c r="BG39" s="215"/>
      <c r="BI39" s="139" t="s">
        <v>56</v>
      </c>
      <c r="BJ39" s="214"/>
      <c r="BK39" s="212"/>
      <c r="BL39" s="212"/>
    </row>
    <row r="40" spans="2:64" x14ac:dyDescent="0.25">
      <c r="B40" s="268">
        <v>80</v>
      </c>
      <c r="C40" s="268">
        <v>85</v>
      </c>
      <c r="D40" s="1">
        <f t="shared" si="24"/>
        <v>82.5</v>
      </c>
      <c r="E40" s="1">
        <f>'SAS MN Bin Data by Zone'!H7</f>
        <v>133</v>
      </c>
      <c r="F40" s="12"/>
      <c r="G40" s="45">
        <f t="shared" si="0"/>
        <v>0</v>
      </c>
      <c r="H40" s="45">
        <f t="shared" si="1"/>
        <v>0</v>
      </c>
      <c r="I40" s="1">
        <f t="shared" si="2"/>
        <v>82.5</v>
      </c>
      <c r="J40" s="1">
        <f>'SAS MN Bin Data by Zone'!M7</f>
        <v>213</v>
      </c>
      <c r="K40" s="12"/>
      <c r="L40" s="45">
        <f t="shared" si="3"/>
        <v>0</v>
      </c>
      <c r="M40" s="45">
        <f t="shared" si="4"/>
        <v>0</v>
      </c>
      <c r="N40" s="1">
        <f t="shared" si="25"/>
        <v>82.5</v>
      </c>
      <c r="O40" s="1">
        <f>'SAS MN Bin Data by Zone'!R7</f>
        <v>327</v>
      </c>
      <c r="P40" s="12"/>
      <c r="Q40" s="45">
        <f t="shared" si="5"/>
        <v>0</v>
      </c>
      <c r="R40" s="45">
        <f t="shared" si="6"/>
        <v>0</v>
      </c>
      <c r="S40" s="147"/>
      <c r="U40" s="127" t="str">
        <f>$C$16</f>
        <v>% of load served by backup</v>
      </c>
      <c r="V40" s="54">
        <f>$C$17</f>
        <v>0.67220774296527253</v>
      </c>
      <c r="W40" s="54">
        <f>$C$18</f>
        <v>0.63494006902486844</v>
      </c>
      <c r="X40" s="95">
        <f>$C$19</f>
        <v>0.59108576224434706</v>
      </c>
      <c r="Z40" s="127" t="str">
        <f>$C$16</f>
        <v>% of load served by backup</v>
      </c>
      <c r="AA40" s="54">
        <f>$C$17</f>
        <v>0.67220774296527253</v>
      </c>
      <c r="AB40" s="54">
        <f>$C$18</f>
        <v>0.63494006902486844</v>
      </c>
      <c r="AC40" s="95">
        <f>$C$19</f>
        <v>0.59108576224434706</v>
      </c>
      <c r="AD40" s="150"/>
      <c r="AE40" s="127" t="str">
        <f>$C$16</f>
        <v>% of load served by backup</v>
      </c>
      <c r="AF40" s="54">
        <f>$C$17</f>
        <v>0.67220774296527253</v>
      </c>
      <c r="AG40" s="54">
        <f>$C$18</f>
        <v>0.63494006902486844</v>
      </c>
      <c r="AH40" s="95">
        <f>$C$19</f>
        <v>0.59108576224434706</v>
      </c>
      <c r="AJ40" s="127" t="str">
        <f>$C$16</f>
        <v>% of load served by backup</v>
      </c>
      <c r="AK40" s="54">
        <f>$C$17</f>
        <v>0.67220774296527253</v>
      </c>
      <c r="AL40" s="54">
        <f>$C$18</f>
        <v>0.63494006902486844</v>
      </c>
      <c r="AM40" s="95">
        <f>$C$19</f>
        <v>0.59108576224434706</v>
      </c>
      <c r="AO40" s="127" t="str">
        <f>$C$16</f>
        <v>% of load served by backup</v>
      </c>
      <c r="AP40" s="54">
        <f>$C$17</f>
        <v>0.67220774296527253</v>
      </c>
      <c r="AQ40" s="54">
        <f>$C$18</f>
        <v>0.63494006902486844</v>
      </c>
      <c r="AR40" s="95">
        <f>$C$19</f>
        <v>0.59108576224434706</v>
      </c>
      <c r="AT40" s="127" t="str">
        <f>$C$16</f>
        <v>% of load served by backup</v>
      </c>
      <c r="AU40" s="54">
        <f>$C$17</f>
        <v>0.67220774296527253</v>
      </c>
      <c r="AV40" s="54">
        <f>$C$18</f>
        <v>0.63494006902486844</v>
      </c>
      <c r="AW40" s="95">
        <f>$C$19</f>
        <v>0.59108576224434706</v>
      </c>
      <c r="AY40" s="127" t="str">
        <f>$C$16</f>
        <v>% of load served by backup</v>
      </c>
      <c r="AZ40" s="54">
        <f>$C$17</f>
        <v>0.67220774296527253</v>
      </c>
      <c r="BA40" s="54">
        <f>$C$18</f>
        <v>0.63494006902486844</v>
      </c>
      <c r="BB40" s="95">
        <f>$C$19</f>
        <v>0.59108576224434706</v>
      </c>
      <c r="BD40" s="138" t="str">
        <f>$C$16</f>
        <v>% of load served by backup</v>
      </c>
      <c r="BE40" s="54">
        <f>$C$17</f>
        <v>0.67220774296527253</v>
      </c>
      <c r="BF40" s="54">
        <f>$C$18</f>
        <v>0.63494006902486844</v>
      </c>
      <c r="BG40" s="95">
        <f>$C$19</f>
        <v>0.59108576224434706</v>
      </c>
      <c r="BI40" s="138" t="str">
        <f>$C$16</f>
        <v>% of load served by backup</v>
      </c>
      <c r="BJ40" s="94">
        <v>0</v>
      </c>
      <c r="BK40" s="53">
        <v>0</v>
      </c>
      <c r="BL40" s="53">
        <v>0</v>
      </c>
    </row>
    <row r="41" spans="2:64" x14ac:dyDescent="0.25">
      <c r="B41" s="268">
        <v>75</v>
      </c>
      <c r="C41" s="268">
        <v>80</v>
      </c>
      <c r="D41" s="1">
        <f t="shared" si="24"/>
        <v>77.5</v>
      </c>
      <c r="E41" s="1">
        <f>'SAS MN Bin Data by Zone'!H8</f>
        <v>201</v>
      </c>
      <c r="F41" s="12"/>
      <c r="G41" s="45">
        <f t="shared" si="0"/>
        <v>0</v>
      </c>
      <c r="H41" s="45">
        <f t="shared" si="1"/>
        <v>0</v>
      </c>
      <c r="I41" s="1">
        <f t="shared" si="2"/>
        <v>77.5</v>
      </c>
      <c r="J41" s="1">
        <f>'SAS MN Bin Data by Zone'!M8</f>
        <v>367</v>
      </c>
      <c r="K41" s="12"/>
      <c r="L41" s="45">
        <f t="shared" si="3"/>
        <v>0</v>
      </c>
      <c r="M41" s="45">
        <f t="shared" si="4"/>
        <v>0</v>
      </c>
      <c r="N41" s="1">
        <f t="shared" si="25"/>
        <v>77.5</v>
      </c>
      <c r="O41" s="1">
        <f>'SAS MN Bin Data by Zone'!R8</f>
        <v>535</v>
      </c>
      <c r="P41" s="12"/>
      <c r="Q41" s="45">
        <f t="shared" si="5"/>
        <v>0</v>
      </c>
      <c r="R41" s="45">
        <f t="shared" si="6"/>
        <v>0</v>
      </c>
      <c r="S41" s="147"/>
      <c r="U41" s="127" t="str">
        <f>$D$16</f>
        <v>% of load served by HP</v>
      </c>
      <c r="V41" s="54">
        <f>$D$17</f>
        <v>0.32779225703472747</v>
      </c>
      <c r="W41" s="54">
        <f>$D$18</f>
        <v>0.36505993097513156</v>
      </c>
      <c r="X41" s="95">
        <f>$D$19</f>
        <v>0.40891423775565294</v>
      </c>
      <c r="Z41" s="127" t="str">
        <f>$D$16</f>
        <v>% of load served by HP</v>
      </c>
      <c r="AA41" s="54">
        <f>$D$17</f>
        <v>0.32779225703472747</v>
      </c>
      <c r="AB41" s="54">
        <f>$D$18</f>
        <v>0.36505993097513156</v>
      </c>
      <c r="AC41" s="95">
        <f>$D$19</f>
        <v>0.40891423775565294</v>
      </c>
      <c r="AD41" s="150"/>
      <c r="AE41" s="127" t="str">
        <f>$D$16</f>
        <v>% of load served by HP</v>
      </c>
      <c r="AF41" s="54">
        <f>$D$17</f>
        <v>0.32779225703472747</v>
      </c>
      <c r="AG41" s="54">
        <f>$D$18</f>
        <v>0.36505993097513156</v>
      </c>
      <c r="AH41" s="95">
        <f>$D$19</f>
        <v>0.40891423775565294</v>
      </c>
      <c r="AJ41" s="127" t="str">
        <f>$D$16</f>
        <v>% of load served by HP</v>
      </c>
      <c r="AK41" s="54">
        <f>$D$17</f>
        <v>0.32779225703472747</v>
      </c>
      <c r="AL41" s="54">
        <f>$D$18</f>
        <v>0.36505993097513156</v>
      </c>
      <c r="AM41" s="95">
        <f>$D$19</f>
        <v>0.40891423775565294</v>
      </c>
      <c r="AO41" s="127" t="str">
        <f>$D$16</f>
        <v>% of load served by HP</v>
      </c>
      <c r="AP41" s="54">
        <f>$D$17</f>
        <v>0.32779225703472747</v>
      </c>
      <c r="AQ41" s="54">
        <f>$D$18</f>
        <v>0.36505993097513156</v>
      </c>
      <c r="AR41" s="95">
        <f>$D$19</f>
        <v>0.40891423775565294</v>
      </c>
      <c r="AT41" s="127" t="str">
        <f>$D$16</f>
        <v>% of load served by HP</v>
      </c>
      <c r="AU41" s="54">
        <f>$D$17</f>
        <v>0.32779225703472747</v>
      </c>
      <c r="AV41" s="54">
        <f>$D$18</f>
        <v>0.36505993097513156</v>
      </c>
      <c r="AW41" s="95">
        <f>$D$19</f>
        <v>0.40891423775565294</v>
      </c>
      <c r="AY41" s="127" t="str">
        <f>$D$16</f>
        <v>% of load served by HP</v>
      </c>
      <c r="AZ41" s="54">
        <f>$D$17</f>
        <v>0.32779225703472747</v>
      </c>
      <c r="BA41" s="54">
        <f>$D$18</f>
        <v>0.36505993097513156</v>
      </c>
      <c r="BB41" s="95">
        <f>$D$19</f>
        <v>0.40891423775565294</v>
      </c>
      <c r="BD41" s="138" t="str">
        <f>$D$16</f>
        <v>% of load served by HP</v>
      </c>
      <c r="BE41" s="54">
        <f>$D$17</f>
        <v>0.32779225703472747</v>
      </c>
      <c r="BF41" s="54">
        <f>$D$18</f>
        <v>0.36505993097513156</v>
      </c>
      <c r="BG41" s="95">
        <f>$D$19</f>
        <v>0.40891423775565294</v>
      </c>
      <c r="BI41" s="138" t="str">
        <f>$D$16</f>
        <v>% of load served by HP</v>
      </c>
      <c r="BJ41" s="96">
        <v>1</v>
      </c>
      <c r="BK41" s="55">
        <v>1</v>
      </c>
      <c r="BL41" s="55">
        <v>1</v>
      </c>
    </row>
    <row r="42" spans="2:64" x14ac:dyDescent="0.25">
      <c r="B42" s="268">
        <v>70</v>
      </c>
      <c r="C42" s="268">
        <v>75</v>
      </c>
      <c r="D42" s="1">
        <f t="shared" si="24"/>
        <v>72.5</v>
      </c>
      <c r="E42" s="1">
        <f>'SAS MN Bin Data by Zone'!H9</f>
        <v>460.5</v>
      </c>
      <c r="F42" s="12"/>
      <c r="G42" s="45">
        <f t="shared" si="0"/>
        <v>0</v>
      </c>
      <c r="H42" s="45">
        <f t="shared" si="1"/>
        <v>0</v>
      </c>
      <c r="I42" s="1">
        <f t="shared" si="2"/>
        <v>72.5</v>
      </c>
      <c r="J42" s="1">
        <f>'SAS MN Bin Data by Zone'!M9</f>
        <v>539</v>
      </c>
      <c r="K42" s="12"/>
      <c r="L42" s="45">
        <f t="shared" si="3"/>
        <v>0</v>
      </c>
      <c r="M42" s="45">
        <f t="shared" si="4"/>
        <v>0</v>
      </c>
      <c r="N42" s="1">
        <f t="shared" si="25"/>
        <v>72.5</v>
      </c>
      <c r="O42" s="1">
        <f>'SAS MN Bin Data by Zone'!R9</f>
        <v>686</v>
      </c>
      <c r="P42" s="12"/>
      <c r="Q42" s="45">
        <f t="shared" si="5"/>
        <v>0</v>
      </c>
      <c r="R42" s="45">
        <f t="shared" si="6"/>
        <v>0</v>
      </c>
      <c r="S42" s="147"/>
      <c r="U42" s="128" t="s">
        <v>192</v>
      </c>
      <c r="V42" s="265"/>
      <c r="W42" s="265"/>
      <c r="X42" s="266"/>
      <c r="Z42" s="128" t="s">
        <v>192</v>
      </c>
      <c r="AA42" s="212"/>
      <c r="AB42" s="212"/>
      <c r="AC42" s="215"/>
      <c r="AD42" s="146"/>
      <c r="AE42" s="128" t="s">
        <v>192</v>
      </c>
      <c r="AF42" s="212"/>
      <c r="AG42" s="212"/>
      <c r="AH42" s="215"/>
      <c r="AJ42" s="128" t="s">
        <v>192</v>
      </c>
      <c r="AK42" s="212"/>
      <c r="AL42" s="212"/>
      <c r="AM42" s="215"/>
      <c r="AO42" s="128" t="s">
        <v>192</v>
      </c>
      <c r="AP42" s="212"/>
      <c r="AQ42" s="212"/>
      <c r="AR42" s="215"/>
      <c r="AT42" s="128" t="s">
        <v>192</v>
      </c>
      <c r="AU42" s="212"/>
      <c r="AV42" s="212"/>
      <c r="AW42" s="215"/>
      <c r="AY42" s="128" t="s">
        <v>192</v>
      </c>
      <c r="AZ42" s="212"/>
      <c r="BA42" s="212"/>
      <c r="BB42" s="215"/>
      <c r="BD42" s="139" t="s">
        <v>192</v>
      </c>
      <c r="BE42" s="212"/>
      <c r="BF42" s="212"/>
      <c r="BG42" s="215"/>
      <c r="BI42" s="139" t="s">
        <v>192</v>
      </c>
      <c r="BJ42" s="214"/>
      <c r="BK42" s="212"/>
      <c r="BL42" s="212"/>
    </row>
    <row r="43" spans="2:64" x14ac:dyDescent="0.25">
      <c r="B43" s="268">
        <v>65</v>
      </c>
      <c r="C43" s="268">
        <v>70</v>
      </c>
      <c r="D43" s="1">
        <f t="shared" si="24"/>
        <v>67.5</v>
      </c>
      <c r="E43" s="1">
        <f>'SAS MN Bin Data by Zone'!H10</f>
        <v>585</v>
      </c>
      <c r="F43" s="12"/>
      <c r="G43" s="45">
        <f t="shared" si="0"/>
        <v>0</v>
      </c>
      <c r="H43" s="45">
        <f t="shared" si="1"/>
        <v>0</v>
      </c>
      <c r="I43" s="1">
        <f t="shared" si="2"/>
        <v>67.5</v>
      </c>
      <c r="J43" s="1">
        <f>'SAS MN Bin Data by Zone'!M10</f>
        <v>642</v>
      </c>
      <c r="K43" s="12"/>
      <c r="L43" s="45">
        <f t="shared" si="3"/>
        <v>0</v>
      </c>
      <c r="M43" s="45">
        <f t="shared" si="4"/>
        <v>0</v>
      </c>
      <c r="N43" s="1">
        <f t="shared" si="25"/>
        <v>67.5</v>
      </c>
      <c r="O43" s="1">
        <f>'SAS MN Bin Data by Zone'!R10</f>
        <v>749</v>
      </c>
      <c r="P43" s="12"/>
      <c r="Q43" s="45">
        <f t="shared" si="5"/>
        <v>0</v>
      </c>
      <c r="R43" s="45">
        <f t="shared" si="6"/>
        <v>0</v>
      </c>
      <c r="S43" s="147"/>
      <c r="T43" s="196"/>
      <c r="U43" s="127" t="s">
        <v>57</v>
      </c>
      <c r="V43" s="18">
        <f>$C$82</f>
        <v>70000</v>
      </c>
      <c r="W43" s="18">
        <f>$C$82</f>
        <v>70000</v>
      </c>
      <c r="X43" s="216">
        <f>$C$82</f>
        <v>70000</v>
      </c>
      <c r="Z43" s="127" t="s">
        <v>57</v>
      </c>
      <c r="AA43" s="18">
        <f>$C$82</f>
        <v>70000</v>
      </c>
      <c r="AB43" s="18">
        <f>$C$82</f>
        <v>70000</v>
      </c>
      <c r="AC43" s="216">
        <f>$C$82</f>
        <v>70000</v>
      </c>
      <c r="AD43" s="147"/>
      <c r="AE43" s="127" t="s">
        <v>57</v>
      </c>
      <c r="AF43" s="18">
        <f>$C$82</f>
        <v>70000</v>
      </c>
      <c r="AG43" s="18">
        <f>$C$82</f>
        <v>70000</v>
      </c>
      <c r="AH43" s="216">
        <f>$C$82</f>
        <v>70000</v>
      </c>
      <c r="AJ43" s="127" t="s">
        <v>57</v>
      </c>
      <c r="AK43" s="18">
        <f>$C$82</f>
        <v>70000</v>
      </c>
      <c r="AL43" s="18">
        <f>$C$82</f>
        <v>70000</v>
      </c>
      <c r="AM43" s="216">
        <f>$C$82</f>
        <v>70000</v>
      </c>
      <c r="AO43" s="127" t="s">
        <v>57</v>
      </c>
      <c r="AP43" s="18">
        <f>$C$82</f>
        <v>70000</v>
      </c>
      <c r="AQ43" s="18">
        <f>$C$82</f>
        <v>70000</v>
      </c>
      <c r="AR43" s="216">
        <f>$C$82</f>
        <v>70000</v>
      </c>
      <c r="AT43" s="127" t="s">
        <v>57</v>
      </c>
      <c r="AU43" s="18">
        <f>$C$82</f>
        <v>70000</v>
      </c>
      <c r="AV43" s="18">
        <f>$C$82</f>
        <v>70000</v>
      </c>
      <c r="AW43" s="216">
        <f>$C$82</f>
        <v>70000</v>
      </c>
      <c r="AY43" s="127" t="s">
        <v>57</v>
      </c>
      <c r="AZ43" s="18">
        <f>$C$82</f>
        <v>70000</v>
      </c>
      <c r="BA43" s="18">
        <f>$C$82</f>
        <v>70000</v>
      </c>
      <c r="BB43" s="216">
        <f>$C$82</f>
        <v>70000</v>
      </c>
      <c r="BD43" s="138" t="s">
        <v>57</v>
      </c>
      <c r="BE43" s="18">
        <f>$C$82</f>
        <v>70000</v>
      </c>
      <c r="BF43" s="18">
        <f>$C$82</f>
        <v>70000</v>
      </c>
      <c r="BG43" s="216">
        <f>$C$82</f>
        <v>70000</v>
      </c>
      <c r="BI43" s="138" t="s">
        <v>57</v>
      </c>
      <c r="BJ43" s="87">
        <f>$C$76</f>
        <v>31000</v>
      </c>
      <c r="BK43" s="18">
        <f>$C$77</f>
        <v>30000</v>
      </c>
      <c r="BL43" s="18">
        <f>$C$78</f>
        <v>35500</v>
      </c>
    </row>
    <row r="44" spans="2:64" x14ac:dyDescent="0.25">
      <c r="B44" s="268">
        <v>60</v>
      </c>
      <c r="C44" s="268">
        <v>65</v>
      </c>
      <c r="D44" s="1">
        <f t="shared" si="24"/>
        <v>62.5</v>
      </c>
      <c r="E44" s="1">
        <f>'SAS MN Bin Data by Zone'!H11</f>
        <v>779.5</v>
      </c>
      <c r="F44" s="12"/>
      <c r="G44" s="45">
        <f t="shared" si="0"/>
        <v>0</v>
      </c>
      <c r="H44" s="45">
        <f t="shared" si="1"/>
        <v>0</v>
      </c>
      <c r="I44" s="1">
        <f t="shared" si="2"/>
        <v>62.5</v>
      </c>
      <c r="J44" s="1">
        <f>'SAS MN Bin Data by Zone'!M11</f>
        <v>694</v>
      </c>
      <c r="K44" s="12"/>
      <c r="L44" s="45">
        <f t="shared" si="3"/>
        <v>0</v>
      </c>
      <c r="M44" s="45">
        <f t="shared" si="4"/>
        <v>0</v>
      </c>
      <c r="N44" s="1">
        <f t="shared" si="25"/>
        <v>62.5</v>
      </c>
      <c r="O44" s="1">
        <f>'SAS MN Bin Data by Zone'!R11</f>
        <v>670</v>
      </c>
      <c r="P44" s="12"/>
      <c r="Q44" s="45">
        <f t="shared" si="5"/>
        <v>0</v>
      </c>
      <c r="R44" s="45">
        <f t="shared" si="6"/>
        <v>0</v>
      </c>
      <c r="S44" s="147"/>
      <c r="U44" s="127" t="s">
        <v>58</v>
      </c>
      <c r="V44" s="43">
        <f>$G$30</f>
        <v>1144.9745435853399</v>
      </c>
      <c r="W44" s="43">
        <f>$G$31</f>
        <v>1020.33390226468</v>
      </c>
      <c r="X44" s="89">
        <f>$G$32</f>
        <v>1045.9727545534399</v>
      </c>
      <c r="Z44" s="127" t="s">
        <v>58</v>
      </c>
      <c r="AA44" s="43">
        <f>$G$30</f>
        <v>1144.9745435853399</v>
      </c>
      <c r="AB44" s="43">
        <f>$G$31</f>
        <v>1020.33390226468</v>
      </c>
      <c r="AC44" s="89">
        <f>$G$32</f>
        <v>1045.9727545534399</v>
      </c>
      <c r="AD44" s="148"/>
      <c r="AE44" s="127" t="s">
        <v>58</v>
      </c>
      <c r="AF44" s="43">
        <f>$G$30</f>
        <v>1144.9745435853399</v>
      </c>
      <c r="AG44" s="43">
        <f>$G$31</f>
        <v>1020.33390226468</v>
      </c>
      <c r="AH44" s="89">
        <f>$G$32</f>
        <v>1045.9727545534399</v>
      </c>
      <c r="AJ44" s="127" t="s">
        <v>58</v>
      </c>
      <c r="AK44" s="43">
        <f>$G$30</f>
        <v>1144.9745435853399</v>
      </c>
      <c r="AL44" s="43">
        <f>$G$31</f>
        <v>1020.33390226468</v>
      </c>
      <c r="AM44" s="89">
        <f>$G$32</f>
        <v>1045.9727545534399</v>
      </c>
      <c r="AO44" s="127" t="s">
        <v>58</v>
      </c>
      <c r="AP44" s="43">
        <f>$G$30</f>
        <v>1144.9745435853399</v>
      </c>
      <c r="AQ44" s="43">
        <f>$G$31</f>
        <v>1020.33390226468</v>
      </c>
      <c r="AR44" s="89">
        <f>$G$32</f>
        <v>1045.9727545534399</v>
      </c>
      <c r="AT44" s="127" t="s">
        <v>58</v>
      </c>
      <c r="AU44" s="43">
        <f>$G$30</f>
        <v>1144.9745435853399</v>
      </c>
      <c r="AV44" s="43">
        <f>$G$31</f>
        <v>1020.33390226468</v>
      </c>
      <c r="AW44" s="89">
        <f>$G$32</f>
        <v>1045.9727545534399</v>
      </c>
      <c r="AY44" s="127" t="s">
        <v>58</v>
      </c>
      <c r="AZ44" s="43">
        <f>$G$30</f>
        <v>1144.9745435853399</v>
      </c>
      <c r="BA44" s="43">
        <f>$G$31</f>
        <v>1020.33390226468</v>
      </c>
      <c r="BB44" s="89">
        <f>$G$32</f>
        <v>1045.9727545534399</v>
      </c>
      <c r="BD44" s="138" t="s">
        <v>58</v>
      </c>
      <c r="BE44" s="43">
        <f>$G$30</f>
        <v>1144.9745435853399</v>
      </c>
      <c r="BF44" s="43">
        <f>$G$31</f>
        <v>1020.33390226468</v>
      </c>
      <c r="BG44" s="89">
        <f>$G$32</f>
        <v>1045.9727545534399</v>
      </c>
      <c r="BI44" s="138" t="s">
        <v>58</v>
      </c>
      <c r="BJ44" s="88">
        <f>$F$30</f>
        <v>2576.09268742533</v>
      </c>
      <c r="BK44" s="43">
        <f>$F$31</f>
        <v>2383.3982632715042</v>
      </c>
      <c r="BL44" s="43">
        <f>$F$32</f>
        <v>2069.4735594212902</v>
      </c>
    </row>
    <row r="45" spans="2:64" x14ac:dyDescent="0.25">
      <c r="B45" s="268">
        <v>55</v>
      </c>
      <c r="C45" s="268">
        <v>60</v>
      </c>
      <c r="D45" s="1">
        <f t="shared" si="24"/>
        <v>57.5</v>
      </c>
      <c r="E45" s="1">
        <f>'SAS MN Bin Data by Zone'!H12</f>
        <v>507</v>
      </c>
      <c r="F45" s="280">
        <f>H45/$H$67</f>
        <v>2.1704275927864416E-2</v>
      </c>
      <c r="G45" s="45">
        <f t="shared" si="0"/>
        <v>2679.0750000000003</v>
      </c>
      <c r="H45" s="45">
        <f t="shared" si="1"/>
        <v>1358291.0250000001</v>
      </c>
      <c r="I45" s="1">
        <f t="shared" si="2"/>
        <v>57.5</v>
      </c>
      <c r="J45" s="1">
        <f>'SAS MN Bin Data by Zone'!M12</f>
        <v>653</v>
      </c>
      <c r="K45" s="280">
        <f>M45/$M$67</f>
        <v>3.0415746187218862E-2</v>
      </c>
      <c r="L45" s="45">
        <f t="shared" ref="L45:L55" si="26">IF(I45&lt;=60,IF(I45&lt;&gt;"",1.08*($C$14-I45)*$C$13,0),0)</f>
        <v>2679.0750000000003</v>
      </c>
      <c r="M45" s="45">
        <f t="shared" ref="M45:M55" si="27">L45*J45</f>
        <v>1749435.9750000001</v>
      </c>
      <c r="N45" s="1">
        <f t="shared" si="25"/>
        <v>57.5</v>
      </c>
      <c r="O45" s="1">
        <f>'SAS MN Bin Data by Zone'!R12</f>
        <v>572</v>
      </c>
      <c r="P45" s="280">
        <f>R45/$R$67</f>
        <v>3.073592741285474E-2</v>
      </c>
      <c r="Q45" s="45">
        <f t="shared" ref="Q45:Q56" si="28">IF(N45&lt;=60,IF(N45&lt;&gt;"",1.08*($C$14-N45)*$C$13,0),0)</f>
        <v>2679.0750000000003</v>
      </c>
      <c r="R45" s="45">
        <f t="shared" ref="R45:R56" si="29">Q45*O45</f>
        <v>1532430.9000000001</v>
      </c>
      <c r="S45" s="76"/>
      <c r="U45" s="127" t="s">
        <v>59</v>
      </c>
      <c r="V45" s="195">
        <f>$C$83</f>
        <v>0.8</v>
      </c>
      <c r="W45" s="195">
        <f>$C$83</f>
        <v>0.8</v>
      </c>
      <c r="X45" s="218">
        <f>$C$83</f>
        <v>0.8</v>
      </c>
      <c r="Z45" s="127" t="s">
        <v>59</v>
      </c>
      <c r="AA45" s="195">
        <f>$C$84</f>
        <v>0.84</v>
      </c>
      <c r="AB45" s="195">
        <f>$C$84</f>
        <v>0.84</v>
      </c>
      <c r="AC45" s="218">
        <f>$C$84</f>
        <v>0.84</v>
      </c>
      <c r="AD45" s="151"/>
      <c r="AE45" s="127" t="s">
        <v>59</v>
      </c>
      <c r="AF45" s="195">
        <f>$C$83</f>
        <v>0.8</v>
      </c>
      <c r="AG45" s="195">
        <f>$C$83</f>
        <v>0.8</v>
      </c>
      <c r="AH45" s="218">
        <f>$C$83</f>
        <v>0.8</v>
      </c>
      <c r="AJ45" s="127" t="s">
        <v>59</v>
      </c>
      <c r="AK45" s="195">
        <f>$C$84</f>
        <v>0.84</v>
      </c>
      <c r="AL45" s="195">
        <f>$C$84</f>
        <v>0.84</v>
      </c>
      <c r="AM45" s="218">
        <f>$C$84</f>
        <v>0.84</v>
      </c>
      <c r="AO45" s="127" t="s">
        <v>59</v>
      </c>
      <c r="AP45" s="195">
        <f>$C$83</f>
        <v>0.8</v>
      </c>
      <c r="AQ45" s="195">
        <f>$C$83</f>
        <v>0.8</v>
      </c>
      <c r="AR45" s="218">
        <f>$C$83</f>
        <v>0.8</v>
      </c>
      <c r="AT45" s="127" t="s">
        <v>59</v>
      </c>
      <c r="AU45" s="195">
        <f>$C$84</f>
        <v>0.84</v>
      </c>
      <c r="AV45" s="195">
        <f>$C$84</f>
        <v>0.84</v>
      </c>
      <c r="AW45" s="218">
        <f>$C$84</f>
        <v>0.84</v>
      </c>
      <c r="AY45" s="127" t="s">
        <v>59</v>
      </c>
      <c r="AZ45" s="195">
        <f>$C$85</f>
        <v>0.75</v>
      </c>
      <c r="BA45" s="195">
        <f>$C$85</f>
        <v>0.75</v>
      </c>
      <c r="BB45" s="218">
        <f>$C$85</f>
        <v>0.75</v>
      </c>
      <c r="BD45" s="138" t="s">
        <v>59</v>
      </c>
      <c r="BE45" s="203">
        <f>$C$87</f>
        <v>1</v>
      </c>
      <c r="BF45" s="203">
        <f>$C$87</f>
        <v>1</v>
      </c>
      <c r="BG45" s="220">
        <f>$C$87</f>
        <v>1</v>
      </c>
      <c r="BI45" s="138" t="s">
        <v>49</v>
      </c>
      <c r="BJ45" s="228">
        <v>8</v>
      </c>
      <c r="BK45" s="227">
        <v>8</v>
      </c>
      <c r="BL45" s="227">
        <v>8</v>
      </c>
    </row>
    <row r="46" spans="2:64" x14ac:dyDescent="0.25">
      <c r="B46" s="268">
        <v>50</v>
      </c>
      <c r="C46" s="268">
        <v>55</v>
      </c>
      <c r="D46" s="1">
        <f t="shared" si="24"/>
        <v>52.5</v>
      </c>
      <c r="E46" s="1">
        <f>'SAS MN Bin Data by Zone'!H13</f>
        <v>738</v>
      </c>
      <c r="F46" s="280">
        <f t="shared" ref="F46:F66" si="30">H46/$H$67</f>
        <v>4.6637590370778824E-2</v>
      </c>
      <c r="G46" s="45">
        <f t="shared" si="0"/>
        <v>3954.8250000000007</v>
      </c>
      <c r="H46" s="45">
        <f t="shared" si="1"/>
        <v>2918660.8500000006</v>
      </c>
      <c r="I46" s="1">
        <f t="shared" si="2"/>
        <v>52.5</v>
      </c>
      <c r="J46" s="1">
        <f>'SAS MN Bin Data by Zone'!M13</f>
        <v>569</v>
      </c>
      <c r="K46" s="280">
        <f t="shared" ref="K46:K66" si="31">M46/$M$67</f>
        <v>3.9123703565693398E-2</v>
      </c>
      <c r="L46" s="45">
        <f t="shared" si="26"/>
        <v>3954.8250000000007</v>
      </c>
      <c r="M46" s="45">
        <f t="shared" si="27"/>
        <v>2250295.4250000003</v>
      </c>
      <c r="N46" s="1">
        <f t="shared" si="25"/>
        <v>52.5</v>
      </c>
      <c r="O46" s="1">
        <f>'SAS MN Bin Data by Zone'!R13</f>
        <v>496</v>
      </c>
      <c r="P46" s="280">
        <f t="shared" ref="P46:P66" si="32">R46/$R$67</f>
        <v>3.9343624700304239E-2</v>
      </c>
      <c r="Q46" s="45">
        <f t="shared" si="28"/>
        <v>3954.8250000000007</v>
      </c>
      <c r="R46" s="45">
        <f t="shared" si="29"/>
        <v>1961593.2000000004</v>
      </c>
      <c r="S46" s="76"/>
      <c r="U46" s="127" t="s">
        <v>54</v>
      </c>
      <c r="V46" s="45">
        <f>V43/V45</f>
        <v>87500</v>
      </c>
      <c r="W46" s="45">
        <f t="shared" ref="W46:X46" si="33">W43/W45</f>
        <v>87500</v>
      </c>
      <c r="X46" s="91">
        <f t="shared" si="33"/>
        <v>87500</v>
      </c>
      <c r="Z46" s="127" t="s">
        <v>54</v>
      </c>
      <c r="AA46" s="45">
        <f>AA43/AA45</f>
        <v>83333.333333333343</v>
      </c>
      <c r="AB46" s="45">
        <f t="shared" ref="AB46:AC46" si="34">AB43/AB45</f>
        <v>83333.333333333343</v>
      </c>
      <c r="AC46" s="91">
        <f t="shared" si="34"/>
        <v>83333.333333333343</v>
      </c>
      <c r="AD46" s="147"/>
      <c r="AE46" s="127" t="s">
        <v>54</v>
      </c>
      <c r="AF46" s="45">
        <f>AF43/AF45</f>
        <v>87500</v>
      </c>
      <c r="AG46" s="45">
        <f t="shared" ref="AG46:AH46" si="35">AG43/AG45</f>
        <v>87500</v>
      </c>
      <c r="AH46" s="91">
        <f t="shared" si="35"/>
        <v>87500</v>
      </c>
      <c r="AJ46" s="127" t="s">
        <v>54</v>
      </c>
      <c r="AK46" s="45">
        <f>AK43/AK45</f>
        <v>83333.333333333343</v>
      </c>
      <c r="AL46" s="45">
        <f t="shared" ref="AL46:AM46" si="36">AL43/AL45</f>
        <v>83333.333333333343</v>
      </c>
      <c r="AM46" s="91">
        <f t="shared" si="36"/>
        <v>83333.333333333343</v>
      </c>
      <c r="AO46" s="127" t="s">
        <v>54</v>
      </c>
      <c r="AP46" s="45">
        <f>AP43/AP45</f>
        <v>87500</v>
      </c>
      <c r="AQ46" s="45">
        <f t="shared" ref="AQ46:AR46" si="37">AQ43/AQ45</f>
        <v>87500</v>
      </c>
      <c r="AR46" s="91">
        <f t="shared" si="37"/>
        <v>87500</v>
      </c>
      <c r="AT46" s="127" t="s">
        <v>54</v>
      </c>
      <c r="AU46" s="45">
        <f>AU43/AU45</f>
        <v>83333.333333333343</v>
      </c>
      <c r="AV46" s="45">
        <f t="shared" ref="AV46:AW46" si="38">AV43/AV45</f>
        <v>83333.333333333343</v>
      </c>
      <c r="AW46" s="91">
        <f t="shared" si="38"/>
        <v>83333.333333333343</v>
      </c>
      <c r="AY46" s="127" t="s">
        <v>54</v>
      </c>
      <c r="AZ46" s="45">
        <f>AZ43/AZ45</f>
        <v>93333.333333333328</v>
      </c>
      <c r="BA46" s="45">
        <f t="shared" ref="BA46:BB46" si="39">BA43/BA45</f>
        <v>93333.333333333328</v>
      </c>
      <c r="BB46" s="91">
        <f t="shared" si="39"/>
        <v>93333.333333333328</v>
      </c>
      <c r="BD46" s="138" t="s">
        <v>54</v>
      </c>
      <c r="BE46" s="45">
        <f>BE43/BE45</f>
        <v>70000</v>
      </c>
      <c r="BF46" s="45">
        <f t="shared" ref="BF46:BG46" si="40">BF43/BF45</f>
        <v>70000</v>
      </c>
      <c r="BG46" s="91">
        <f t="shared" si="40"/>
        <v>70000</v>
      </c>
      <c r="BI46" s="138" t="s">
        <v>54</v>
      </c>
      <c r="BJ46" s="90">
        <f>BJ43/(BJ45*0.293)</f>
        <v>13225.255972696246</v>
      </c>
      <c r="BK46" s="45">
        <f t="shared" ref="BK46:BL46" si="41">BK43/(BK45*0.293)</f>
        <v>12798.634812286689</v>
      </c>
      <c r="BL46" s="45">
        <f t="shared" si="41"/>
        <v>15145.05119453925</v>
      </c>
    </row>
    <row r="47" spans="2:64" x14ac:dyDescent="0.25">
      <c r="B47" s="268">
        <v>45</v>
      </c>
      <c r="C47" s="268">
        <v>50</v>
      </c>
      <c r="D47" s="1">
        <f t="shared" si="24"/>
        <v>47.5</v>
      </c>
      <c r="E47" s="1">
        <f>'SAS MN Bin Data by Zone'!H14</f>
        <v>565</v>
      </c>
      <c r="F47" s="280">
        <f t="shared" si="30"/>
        <v>4.7222649748190022E-2</v>
      </c>
      <c r="G47" s="45">
        <f t="shared" si="0"/>
        <v>5230.5750000000007</v>
      </c>
      <c r="H47" s="45">
        <f t="shared" si="1"/>
        <v>2955274.8750000005</v>
      </c>
      <c r="I47" s="1">
        <f t="shared" si="2"/>
        <v>47.5</v>
      </c>
      <c r="J47" s="1">
        <f>'SAS MN Bin Data by Zone'!M14</f>
        <v>557</v>
      </c>
      <c r="K47" s="280">
        <f t="shared" si="31"/>
        <v>5.0652985902247302E-2</v>
      </c>
      <c r="L47" s="45">
        <f t="shared" si="26"/>
        <v>5230.5750000000007</v>
      </c>
      <c r="M47" s="45">
        <f t="shared" si="27"/>
        <v>2913430.2750000004</v>
      </c>
      <c r="N47" s="1">
        <f t="shared" si="25"/>
        <v>47.5</v>
      </c>
      <c r="O47" s="1">
        <f>'SAS MN Bin Data by Zone'!R14</f>
        <v>527</v>
      </c>
      <c r="P47" s="280">
        <f t="shared" si="32"/>
        <v>5.5287311322806558E-2</v>
      </c>
      <c r="Q47" s="45">
        <f t="shared" si="28"/>
        <v>5230.5750000000007</v>
      </c>
      <c r="R47" s="45">
        <f t="shared" si="29"/>
        <v>2756513.0250000004</v>
      </c>
      <c r="S47" s="76"/>
      <c r="U47" s="127" t="s">
        <v>60</v>
      </c>
      <c r="V47" s="59">
        <f t="shared" ref="V47:X47" si="42">V43*V44/1000</f>
        <v>80148.218050973781</v>
      </c>
      <c r="W47" s="59">
        <f t="shared" si="42"/>
        <v>71423.373158527596</v>
      </c>
      <c r="X47" s="93">
        <f t="shared" si="42"/>
        <v>73218.092818740799</v>
      </c>
      <c r="Z47" s="127" t="s">
        <v>60</v>
      </c>
      <c r="AA47" s="59">
        <f t="shared" ref="AA47:AC47" si="43">AA43*AA44/1000</f>
        <v>80148.218050973781</v>
      </c>
      <c r="AB47" s="59">
        <f t="shared" si="43"/>
        <v>71423.373158527596</v>
      </c>
      <c r="AC47" s="93">
        <f t="shared" si="43"/>
        <v>73218.092818740799</v>
      </c>
      <c r="AD47" s="149"/>
      <c r="AE47" s="127" t="s">
        <v>60</v>
      </c>
      <c r="AF47" s="59">
        <f t="shared" ref="AF47:AH47" si="44">AF43*AF44/1000</f>
        <v>80148.218050973781</v>
      </c>
      <c r="AG47" s="59">
        <f t="shared" si="44"/>
        <v>71423.373158527596</v>
      </c>
      <c r="AH47" s="93">
        <f t="shared" si="44"/>
        <v>73218.092818740799</v>
      </c>
      <c r="AJ47" s="127" t="s">
        <v>60</v>
      </c>
      <c r="AK47" s="59">
        <f t="shared" ref="AK47:AM47" si="45">AK43*AK44/1000</f>
        <v>80148.218050973781</v>
      </c>
      <c r="AL47" s="59">
        <f t="shared" si="45"/>
        <v>71423.373158527596</v>
      </c>
      <c r="AM47" s="93">
        <f t="shared" si="45"/>
        <v>73218.092818740799</v>
      </c>
      <c r="AO47" s="127" t="s">
        <v>60</v>
      </c>
      <c r="AP47" s="59">
        <f t="shared" ref="AP47:AR47" si="46">AP43*AP44/1000</f>
        <v>80148.218050973781</v>
      </c>
      <c r="AQ47" s="59">
        <f t="shared" si="46"/>
        <v>71423.373158527596</v>
      </c>
      <c r="AR47" s="93">
        <f t="shared" si="46"/>
        <v>73218.092818740799</v>
      </c>
      <c r="AT47" s="127" t="s">
        <v>60</v>
      </c>
      <c r="AU47" s="59">
        <f t="shared" ref="AU47:AW47" si="47">AU43*AU44/1000</f>
        <v>80148.218050973781</v>
      </c>
      <c r="AV47" s="59">
        <f t="shared" si="47"/>
        <v>71423.373158527596</v>
      </c>
      <c r="AW47" s="93">
        <f t="shared" si="47"/>
        <v>73218.092818740799</v>
      </c>
      <c r="AY47" s="127" t="s">
        <v>60</v>
      </c>
      <c r="AZ47" s="59">
        <f t="shared" ref="AZ47:BB47" si="48">AZ43*AZ44/1000</f>
        <v>80148.218050973781</v>
      </c>
      <c r="BA47" s="59">
        <f t="shared" si="48"/>
        <v>71423.373158527596</v>
      </c>
      <c r="BB47" s="93">
        <f t="shared" si="48"/>
        <v>73218.092818740799</v>
      </c>
      <c r="BD47" s="138" t="s">
        <v>60</v>
      </c>
      <c r="BE47" s="59">
        <f t="shared" ref="BE47:BG47" si="49">BE43*BE44/1000</f>
        <v>80148.218050973781</v>
      </c>
      <c r="BF47" s="59">
        <f t="shared" si="49"/>
        <v>71423.373158527596</v>
      </c>
      <c r="BG47" s="93">
        <f t="shared" si="49"/>
        <v>73218.092818740799</v>
      </c>
      <c r="BI47" s="138" t="s">
        <v>60</v>
      </c>
      <c r="BJ47" s="92">
        <f>BJ43*BJ44/1000</f>
        <v>79858.873310185241</v>
      </c>
      <c r="BK47" s="59">
        <f t="shared" ref="BK47:BL47" si="50">BK43*BK44/1000</f>
        <v>71501.947898145125</v>
      </c>
      <c r="BL47" s="59">
        <f t="shared" si="50"/>
        <v>73466.311359455809</v>
      </c>
    </row>
    <row r="48" spans="2:64" x14ac:dyDescent="0.25">
      <c r="B48" s="268">
        <v>40</v>
      </c>
      <c r="C48" s="268">
        <v>45</v>
      </c>
      <c r="D48" s="1">
        <f t="shared" si="24"/>
        <v>42.5</v>
      </c>
      <c r="E48" s="1">
        <f>'SAS MN Bin Data by Zone'!H15</f>
        <v>543</v>
      </c>
      <c r="F48" s="280">
        <f t="shared" si="30"/>
        <v>5.6453133584141009E-2</v>
      </c>
      <c r="G48" s="45">
        <f t="shared" si="0"/>
        <v>6506.3250000000016</v>
      </c>
      <c r="H48" s="45">
        <f t="shared" si="1"/>
        <v>3532934.475000001</v>
      </c>
      <c r="I48" s="1">
        <f t="shared" si="2"/>
        <v>42.5</v>
      </c>
      <c r="J48" s="1">
        <f>'SAS MN Bin Data by Zone'!M15</f>
        <v>515</v>
      </c>
      <c r="K48" s="280">
        <f t="shared" si="31"/>
        <v>5.825636794336058E-2</v>
      </c>
      <c r="L48" s="45">
        <f t="shared" si="26"/>
        <v>6506.3250000000016</v>
      </c>
      <c r="M48" s="45">
        <f t="shared" si="27"/>
        <v>3350757.3750000009</v>
      </c>
      <c r="N48" s="1">
        <f t="shared" si="25"/>
        <v>42.5</v>
      </c>
      <c r="O48" s="1">
        <f>'SAS MN Bin Data by Zone'!R15</f>
        <v>505</v>
      </c>
      <c r="P48" s="280">
        <f t="shared" si="32"/>
        <v>6.5901083126712778E-2</v>
      </c>
      <c r="Q48" s="45">
        <f t="shared" si="28"/>
        <v>6506.3250000000016</v>
      </c>
      <c r="R48" s="45">
        <f t="shared" si="29"/>
        <v>3285694.1250000009</v>
      </c>
      <c r="S48" s="76"/>
      <c r="U48" s="127" t="s">
        <v>61</v>
      </c>
      <c r="V48" s="60">
        <f t="shared" ref="V48:X48" si="51">V43/V45*V44/100000</f>
        <v>1001.8527256371725</v>
      </c>
      <c r="W48" s="60">
        <f t="shared" si="51"/>
        <v>892.79216448159502</v>
      </c>
      <c r="X48" s="97">
        <f t="shared" si="51"/>
        <v>915.22616023425996</v>
      </c>
      <c r="Z48" s="127" t="s">
        <v>61</v>
      </c>
      <c r="AA48" s="60">
        <f t="shared" ref="AA48:AC48" si="52">AA43/AA45*AA44/100000</f>
        <v>954.14545298778341</v>
      </c>
      <c r="AB48" s="60">
        <f t="shared" si="52"/>
        <v>850.27825188723341</v>
      </c>
      <c r="AC48" s="97">
        <f t="shared" si="52"/>
        <v>871.64396212786676</v>
      </c>
      <c r="AD48" s="152"/>
      <c r="AE48" s="127" t="s">
        <v>61</v>
      </c>
      <c r="AF48" s="60">
        <f t="shared" ref="AF48:AH48" si="53">AF43/AF45*AF44/100000</f>
        <v>1001.8527256371725</v>
      </c>
      <c r="AG48" s="60">
        <f t="shared" si="53"/>
        <v>892.79216448159502</v>
      </c>
      <c r="AH48" s="97">
        <f t="shared" si="53"/>
        <v>915.22616023425996</v>
      </c>
      <c r="AJ48" s="127" t="s">
        <v>61</v>
      </c>
      <c r="AK48" s="60">
        <f t="shared" ref="AK48:AM48" si="54">AK43/AK45*AK44/100000</f>
        <v>954.14545298778341</v>
      </c>
      <c r="AL48" s="60">
        <f t="shared" si="54"/>
        <v>850.27825188723341</v>
      </c>
      <c r="AM48" s="97">
        <f t="shared" si="54"/>
        <v>871.64396212786676</v>
      </c>
      <c r="AO48" s="127" t="s">
        <v>61</v>
      </c>
      <c r="AP48" s="60">
        <f t="shared" ref="AP48:AR48" si="55">AP43/AP45*AP44/100000</f>
        <v>1001.8527256371725</v>
      </c>
      <c r="AQ48" s="60">
        <f t="shared" si="55"/>
        <v>892.79216448159502</v>
      </c>
      <c r="AR48" s="97">
        <f t="shared" si="55"/>
        <v>915.22616023425996</v>
      </c>
      <c r="AT48" s="127" t="s">
        <v>61</v>
      </c>
      <c r="AU48" s="60">
        <f t="shared" ref="AU48:AW48" si="56">AU43/AU45*AU44/100000</f>
        <v>954.14545298778341</v>
      </c>
      <c r="AV48" s="60">
        <f t="shared" si="56"/>
        <v>850.27825188723341</v>
      </c>
      <c r="AW48" s="97">
        <f t="shared" si="56"/>
        <v>871.64396212786676</v>
      </c>
      <c r="AX48" s="247"/>
      <c r="AY48" s="127" t="s">
        <v>61</v>
      </c>
      <c r="AZ48" s="60">
        <f t="shared" ref="AZ48:BB48" si="57">AZ43/AZ45*AZ44/100000</f>
        <v>1068.6429073463171</v>
      </c>
      <c r="BA48" s="60">
        <f t="shared" si="57"/>
        <v>952.31164211370128</v>
      </c>
      <c r="BB48" s="97">
        <f t="shared" si="57"/>
        <v>976.24123758321059</v>
      </c>
      <c r="BC48" s="247"/>
      <c r="BD48" s="138" t="s">
        <v>185</v>
      </c>
      <c r="BE48" s="60">
        <f>BE47/3.412</f>
        <v>23490.099077073206</v>
      </c>
      <c r="BF48" s="60">
        <f t="shared" ref="BF48:BG48" si="58">BF47/3.412</f>
        <v>20932.993305547363</v>
      </c>
      <c r="BG48" s="97">
        <f t="shared" si="58"/>
        <v>21458.995550627435</v>
      </c>
      <c r="BH48" s="192"/>
      <c r="BI48" s="138" t="s">
        <v>216</v>
      </c>
      <c r="BJ48" s="249">
        <f>BJ43/12000*BJ44*(12/BJ45)</f>
        <v>9982.3591637731552</v>
      </c>
      <c r="BK48" s="60">
        <f>BK43/12000*BK44*(12/BK45)</f>
        <v>8937.7434872681406</v>
      </c>
      <c r="BL48" s="60">
        <f>BL43/12000*BL44*(12/BL45)</f>
        <v>9183.2889199319761</v>
      </c>
    </row>
    <row r="49" spans="2:64" ht="15" customHeight="1" x14ac:dyDescent="0.25">
      <c r="B49" s="268">
        <v>35</v>
      </c>
      <c r="C49" s="268">
        <v>40</v>
      </c>
      <c r="D49" s="1">
        <f t="shared" si="24"/>
        <v>37.5</v>
      </c>
      <c r="E49" s="1">
        <f>'SAS MN Bin Data by Zone'!H16</f>
        <v>630</v>
      </c>
      <c r="F49" s="280">
        <f t="shared" si="30"/>
        <v>7.8340877609451451E-2</v>
      </c>
      <c r="G49" s="45">
        <f t="shared" si="0"/>
        <v>7782.0750000000016</v>
      </c>
      <c r="H49" s="45">
        <f t="shared" si="1"/>
        <v>4902707.2500000009</v>
      </c>
      <c r="I49" s="1">
        <f t="shared" si="2"/>
        <v>37.5</v>
      </c>
      <c r="J49" s="1">
        <f>'SAS MN Bin Data by Zone'!M16</f>
        <v>561</v>
      </c>
      <c r="K49" s="280">
        <f t="shared" si="31"/>
        <v>7.590295706795136E-2</v>
      </c>
      <c r="L49" s="45">
        <f t="shared" si="26"/>
        <v>7782.0750000000016</v>
      </c>
      <c r="M49" s="45">
        <f t="shared" si="27"/>
        <v>4365744.0750000011</v>
      </c>
      <c r="N49" s="1">
        <f t="shared" si="25"/>
        <v>37.5</v>
      </c>
      <c r="O49" s="1">
        <f>'SAS MN Bin Data by Zone'!R16</f>
        <v>575</v>
      </c>
      <c r="P49" s="280">
        <f t="shared" si="32"/>
        <v>8.9748805694795208E-2</v>
      </c>
      <c r="Q49" s="45">
        <f t="shared" si="28"/>
        <v>7782.0750000000016</v>
      </c>
      <c r="R49" s="45">
        <f t="shared" si="29"/>
        <v>4474693.1250000009</v>
      </c>
      <c r="S49" s="76"/>
      <c r="U49" s="127" t="s">
        <v>62</v>
      </c>
      <c r="V49" s="70">
        <f>(V48*0.0314)*29.3</f>
        <v>921.72454464071143</v>
      </c>
      <c r="W49" s="70">
        <f>(W48*0.0314)*29.3</f>
        <v>821.38664716635697</v>
      </c>
      <c r="X49" s="70">
        <f>(X48*0.0314)*29.3</f>
        <v>842.02637193872386</v>
      </c>
      <c r="Z49" s="127" t="s">
        <v>62</v>
      </c>
      <c r="AA49" s="1">
        <v>0</v>
      </c>
      <c r="AB49" s="1">
        <v>0</v>
      </c>
      <c r="AC49" s="98">
        <v>0</v>
      </c>
      <c r="AE49" s="127" t="s">
        <v>62</v>
      </c>
      <c r="AF49" s="70">
        <f>(AF48*0.0314)*29.3</f>
        <v>921.72454464071143</v>
      </c>
      <c r="AG49" s="70">
        <f>(AG48*0.0314)*29.3</f>
        <v>821.38664716635697</v>
      </c>
      <c r="AH49" s="70">
        <f>(AH48*0.0314)*29.3</f>
        <v>842.02637193872386</v>
      </c>
      <c r="AJ49" s="127" t="s">
        <v>62</v>
      </c>
      <c r="AK49" s="1">
        <v>0</v>
      </c>
      <c r="AL49" s="1">
        <v>0</v>
      </c>
      <c r="AM49" s="98">
        <v>0</v>
      </c>
      <c r="AO49" s="127" t="s">
        <v>62</v>
      </c>
      <c r="AP49" s="70">
        <f>(AP48*0.0314)*29.3</f>
        <v>921.72454464071143</v>
      </c>
      <c r="AQ49" s="70">
        <f>(AQ48*0.0314)*29.3</f>
        <v>821.38664716635697</v>
      </c>
      <c r="AR49" s="70">
        <f>(AR48*0.0314)*29.3</f>
        <v>842.02637193872386</v>
      </c>
      <c r="AT49" s="127" t="s">
        <v>62</v>
      </c>
      <c r="AU49" s="1">
        <v>0</v>
      </c>
      <c r="AV49" s="1">
        <v>0</v>
      </c>
      <c r="AW49" s="98">
        <v>0</v>
      </c>
      <c r="AX49" s="192"/>
      <c r="AY49" s="127" t="s">
        <v>62</v>
      </c>
      <c r="AZ49" s="1">
        <v>0</v>
      </c>
      <c r="BA49" s="1">
        <v>0</v>
      </c>
      <c r="BB49" s="98">
        <v>0</v>
      </c>
      <c r="BD49" s="138"/>
      <c r="BE49" s="1"/>
      <c r="BF49" s="1"/>
      <c r="BG49" s="98"/>
      <c r="BI49" s="308" t="s">
        <v>313</v>
      </c>
      <c r="BJ49" s="213">
        <f>BJ45*BJ35</f>
        <v>7.1817006134286192</v>
      </c>
      <c r="BK49" s="213">
        <f t="shared" ref="BK49:BL49" si="59">BK45*BK35</f>
        <v>7.095872290637403</v>
      </c>
      <c r="BL49" s="213">
        <f t="shared" si="59"/>
        <v>7.0638679089830161</v>
      </c>
    </row>
    <row r="50" spans="2:64" x14ac:dyDescent="0.25">
      <c r="B50" s="268">
        <v>30</v>
      </c>
      <c r="C50" s="268">
        <v>35</v>
      </c>
      <c r="D50" s="1">
        <f t="shared" si="24"/>
        <v>32.5</v>
      </c>
      <c r="E50" s="1">
        <f>'SAS MN Bin Data by Zone'!H17</f>
        <v>535</v>
      </c>
      <c r="F50" s="280">
        <f t="shared" si="30"/>
        <v>7.7433729794301673E-2</v>
      </c>
      <c r="G50" s="45">
        <f t="shared" si="0"/>
        <v>9057.8250000000025</v>
      </c>
      <c r="H50" s="45">
        <f t="shared" si="1"/>
        <v>4845936.3750000009</v>
      </c>
      <c r="I50" s="1">
        <f t="shared" si="2"/>
        <v>32.5</v>
      </c>
      <c r="J50" s="1">
        <f>'SAS MN Bin Data by Zone'!M17</f>
        <v>703</v>
      </c>
      <c r="K50" s="280">
        <f t="shared" si="31"/>
        <v>0.11070817030866006</v>
      </c>
      <c r="L50" s="45">
        <f t="shared" si="26"/>
        <v>9057.8250000000025</v>
      </c>
      <c r="M50" s="45">
        <f t="shared" si="27"/>
        <v>6367650.9750000015</v>
      </c>
      <c r="N50" s="1">
        <f t="shared" si="25"/>
        <v>32.5</v>
      </c>
      <c r="O50" s="1">
        <f>'SAS MN Bin Data by Zone'!R17</f>
        <v>704</v>
      </c>
      <c r="P50" s="280">
        <f t="shared" si="32"/>
        <v>0.12789748549817945</v>
      </c>
      <c r="Q50" s="45">
        <f t="shared" si="28"/>
        <v>9057.8250000000025</v>
      </c>
      <c r="R50" s="45">
        <f t="shared" si="29"/>
        <v>6376708.8000000017</v>
      </c>
      <c r="S50" s="76"/>
      <c r="U50" s="127" t="s">
        <v>63</v>
      </c>
      <c r="V50" s="71">
        <f>$C$89</f>
        <v>1.07</v>
      </c>
      <c r="W50" s="71">
        <f>$C$89</f>
        <v>1.07</v>
      </c>
      <c r="X50" s="100">
        <f>$C$89</f>
        <v>1.07</v>
      </c>
      <c r="Z50" s="127" t="s">
        <v>63</v>
      </c>
      <c r="AA50" s="71">
        <f>$C$89</f>
        <v>1.07</v>
      </c>
      <c r="AB50" s="71">
        <f>$C$89</f>
        <v>1.07</v>
      </c>
      <c r="AC50" s="100">
        <f>$C$89</f>
        <v>1.07</v>
      </c>
      <c r="AD50" s="153"/>
      <c r="AE50" s="127" t="s">
        <v>63</v>
      </c>
      <c r="AF50" s="71">
        <f>$C$92</f>
        <v>2.4099999999999997</v>
      </c>
      <c r="AG50" s="71">
        <f>$C$92</f>
        <v>2.4099999999999997</v>
      </c>
      <c r="AH50" s="100">
        <f>$C$92</f>
        <v>2.4099999999999997</v>
      </c>
      <c r="AJ50" s="127" t="s">
        <v>63</v>
      </c>
      <c r="AK50" s="71">
        <f>$C$92</f>
        <v>2.4099999999999997</v>
      </c>
      <c r="AL50" s="71">
        <f>$C$92</f>
        <v>2.4099999999999997</v>
      </c>
      <c r="AM50" s="100">
        <f>$C$92</f>
        <v>2.4099999999999997</v>
      </c>
      <c r="AO50" s="127" t="s">
        <v>63</v>
      </c>
      <c r="AP50" s="71">
        <f>$C$96</f>
        <v>1.6300000000000001</v>
      </c>
      <c r="AQ50" s="71">
        <f>$C$96</f>
        <v>1.6300000000000001</v>
      </c>
      <c r="AR50" s="100">
        <f>$C$96</f>
        <v>1.6300000000000001</v>
      </c>
      <c r="AT50" s="127" t="s">
        <v>63</v>
      </c>
      <c r="AU50" s="71">
        <f>$C$96</f>
        <v>1.6300000000000001</v>
      </c>
      <c r="AV50" s="71">
        <f>$C$96</f>
        <v>1.6300000000000001</v>
      </c>
      <c r="AW50" s="100">
        <f>$C$96</f>
        <v>1.6300000000000001</v>
      </c>
      <c r="AY50" s="127" t="s">
        <v>63</v>
      </c>
      <c r="AZ50" s="71">
        <f>$C$94</f>
        <v>1.52</v>
      </c>
      <c r="BA50" s="71">
        <f>$C$94</f>
        <v>1.52</v>
      </c>
      <c r="BB50" s="100">
        <f>$C$94</f>
        <v>1.52</v>
      </c>
      <c r="BC50" s="248"/>
      <c r="BD50" s="138" t="s">
        <v>189</v>
      </c>
      <c r="BE50" s="71">
        <f t="shared" ref="BE50:BG51" si="60">$C$90</f>
        <v>0.13</v>
      </c>
      <c r="BF50" s="71">
        <f t="shared" si="60"/>
        <v>0.13</v>
      </c>
      <c r="BG50" s="100">
        <f t="shared" si="60"/>
        <v>0.13</v>
      </c>
      <c r="BI50" s="138" t="s">
        <v>229</v>
      </c>
      <c r="BJ50" s="99">
        <f t="shared" ref="BJ50:BL51" si="61">$C$90</f>
        <v>0.13</v>
      </c>
      <c r="BK50" s="71">
        <f t="shared" si="61"/>
        <v>0.13</v>
      </c>
      <c r="BL50" s="71">
        <f t="shared" si="61"/>
        <v>0.13</v>
      </c>
    </row>
    <row r="51" spans="2:64" x14ac:dyDescent="0.25">
      <c r="B51" s="268">
        <v>25</v>
      </c>
      <c r="C51" s="268">
        <v>30</v>
      </c>
      <c r="D51" s="1">
        <f t="shared" si="24"/>
        <v>27.5</v>
      </c>
      <c r="E51" s="1">
        <f>'SAS MN Bin Data by Zone'!H18</f>
        <v>749.5</v>
      </c>
      <c r="F51" s="280">
        <f t="shared" si="30"/>
        <v>0.12375840513221423</v>
      </c>
      <c r="G51" s="45">
        <f t="shared" si="0"/>
        <v>10333.575000000003</v>
      </c>
      <c r="H51" s="45">
        <f t="shared" si="1"/>
        <v>7745014.4625000022</v>
      </c>
      <c r="I51" s="1">
        <f t="shared" si="2"/>
        <v>27.5</v>
      </c>
      <c r="J51" s="1">
        <f>'SAS MN Bin Data by Zone'!M18</f>
        <v>600</v>
      </c>
      <c r="K51" s="280">
        <f t="shared" si="31"/>
        <v>0.10779590641718349</v>
      </c>
      <c r="L51" s="45">
        <f t="shared" si="26"/>
        <v>10333.575000000003</v>
      </c>
      <c r="M51" s="45">
        <f t="shared" si="27"/>
        <v>6200145.0000000019</v>
      </c>
      <c r="N51" s="1">
        <f t="shared" si="25"/>
        <v>27.5</v>
      </c>
      <c r="O51" s="1">
        <f>'SAS MN Bin Data by Zone'!R18</f>
        <v>543</v>
      </c>
      <c r="P51" s="280">
        <f t="shared" si="32"/>
        <v>0.11254231563433152</v>
      </c>
      <c r="Q51" s="45">
        <f t="shared" si="28"/>
        <v>10333.575000000003</v>
      </c>
      <c r="R51" s="45">
        <f t="shared" si="29"/>
        <v>5611131.2250000015</v>
      </c>
      <c r="S51" s="76"/>
      <c r="U51" s="129" t="s">
        <v>64</v>
      </c>
      <c r="V51" s="71">
        <f>$C$90</f>
        <v>0.13</v>
      </c>
      <c r="W51" s="71">
        <f>$C$90</f>
        <v>0.13</v>
      </c>
      <c r="X51" s="100">
        <f>$C$90</f>
        <v>0.13</v>
      </c>
      <c r="Z51" s="129" t="s">
        <v>64</v>
      </c>
      <c r="AA51" s="71">
        <f>$C$90</f>
        <v>0.13</v>
      </c>
      <c r="AB51" s="71">
        <f>$C$90</f>
        <v>0.13</v>
      </c>
      <c r="AC51" s="100">
        <f>$C$90</f>
        <v>0.13</v>
      </c>
      <c r="AD51" s="153"/>
      <c r="AE51" s="129" t="s">
        <v>64</v>
      </c>
      <c r="AF51" s="71">
        <f>$C$90</f>
        <v>0.13</v>
      </c>
      <c r="AG51" s="71">
        <f>$C$90</f>
        <v>0.13</v>
      </c>
      <c r="AH51" s="100">
        <f>$C$90</f>
        <v>0.13</v>
      </c>
      <c r="AJ51" s="129" t="s">
        <v>64</v>
      </c>
      <c r="AK51" s="71">
        <f>$C$90</f>
        <v>0.13</v>
      </c>
      <c r="AL51" s="71">
        <f>$C$90</f>
        <v>0.13</v>
      </c>
      <c r="AM51" s="100">
        <f>$C$90</f>
        <v>0.13</v>
      </c>
      <c r="AO51" s="129" t="s">
        <v>64</v>
      </c>
      <c r="AP51" s="71">
        <f>$C$90</f>
        <v>0.13</v>
      </c>
      <c r="AQ51" s="71">
        <f>$C$90</f>
        <v>0.13</v>
      </c>
      <c r="AR51" s="100">
        <f>$C$90</f>
        <v>0.13</v>
      </c>
      <c r="AT51" s="129" t="s">
        <v>64</v>
      </c>
      <c r="AU51" s="71">
        <f>$C$90</f>
        <v>0.13</v>
      </c>
      <c r="AV51" s="71">
        <f>$C$90</f>
        <v>0.13</v>
      </c>
      <c r="AW51" s="100">
        <f>$C$90</f>
        <v>0.13</v>
      </c>
      <c r="AY51" s="129" t="s">
        <v>64</v>
      </c>
      <c r="AZ51" s="71">
        <f>$C$90</f>
        <v>0.13</v>
      </c>
      <c r="BA51" s="71">
        <f>$C$90</f>
        <v>0.13</v>
      </c>
      <c r="BB51" s="100">
        <f>$C$90</f>
        <v>0.13</v>
      </c>
      <c r="BD51" s="141" t="s">
        <v>188</v>
      </c>
      <c r="BE51" s="71">
        <f t="shared" si="60"/>
        <v>0.13</v>
      </c>
      <c r="BF51" s="71">
        <f t="shared" si="60"/>
        <v>0.13</v>
      </c>
      <c r="BG51" s="100">
        <f t="shared" si="60"/>
        <v>0.13</v>
      </c>
      <c r="BI51" s="141" t="s">
        <v>230</v>
      </c>
      <c r="BJ51" s="99">
        <f t="shared" si="61"/>
        <v>0.13</v>
      </c>
      <c r="BK51" s="71">
        <f t="shared" si="61"/>
        <v>0.13</v>
      </c>
      <c r="BL51" s="71">
        <f t="shared" si="61"/>
        <v>0.13</v>
      </c>
    </row>
    <row r="52" spans="2:64" x14ac:dyDescent="0.25">
      <c r="B52" s="268">
        <v>20</v>
      </c>
      <c r="C52" s="268">
        <v>25</v>
      </c>
      <c r="D52" s="1">
        <f t="shared" si="24"/>
        <v>22.5</v>
      </c>
      <c r="E52" s="1">
        <f>'SAS MN Bin Data by Zone'!H19</f>
        <v>519</v>
      </c>
      <c r="F52" s="280">
        <f t="shared" si="30"/>
        <v>9.6277941936424194E-2</v>
      </c>
      <c r="G52" s="45">
        <f t="shared" si="0"/>
        <v>11609.325000000001</v>
      </c>
      <c r="H52" s="45">
        <f t="shared" si="1"/>
        <v>6025239.6750000007</v>
      </c>
      <c r="I52" s="1">
        <f t="shared" si="2"/>
        <v>22.5</v>
      </c>
      <c r="J52" s="1">
        <f>'SAS MN Bin Data by Zone'!M19</f>
        <v>483</v>
      </c>
      <c r="K52" s="280">
        <f t="shared" si="31"/>
        <v>9.748875462457747E-2</v>
      </c>
      <c r="L52" s="45">
        <f t="shared" si="26"/>
        <v>11609.325000000001</v>
      </c>
      <c r="M52" s="45">
        <f t="shared" si="27"/>
        <v>5607303.9750000006</v>
      </c>
      <c r="N52" s="1">
        <f t="shared" si="25"/>
        <v>22.5</v>
      </c>
      <c r="O52" s="1">
        <f>'SAS MN Bin Data by Zone'!R19</f>
        <v>443</v>
      </c>
      <c r="P52" s="280">
        <f t="shared" si="32"/>
        <v>0.10315163518102007</v>
      </c>
      <c r="Q52" s="45">
        <f t="shared" si="28"/>
        <v>11609.325000000001</v>
      </c>
      <c r="R52" s="45">
        <f t="shared" si="29"/>
        <v>5142930.9750000006</v>
      </c>
      <c r="S52" s="76"/>
      <c r="U52" s="127" t="s">
        <v>65</v>
      </c>
      <c r="V52" s="61">
        <f t="shared" ref="V52:X52" si="62">V50*V48</f>
        <v>1071.9824164317747</v>
      </c>
      <c r="W52" s="61">
        <f t="shared" si="62"/>
        <v>955.28761599530674</v>
      </c>
      <c r="X52" s="102">
        <f t="shared" si="62"/>
        <v>979.2919914506582</v>
      </c>
      <c r="Y52" s="253"/>
      <c r="Z52" s="127" t="s">
        <v>65</v>
      </c>
      <c r="AA52" s="61">
        <f t="shared" ref="AA52:AC52" si="63">AA50*AA48</f>
        <v>1020.9356346969283</v>
      </c>
      <c r="AB52" s="61">
        <f t="shared" si="63"/>
        <v>909.79772951933978</v>
      </c>
      <c r="AC52" s="102">
        <f t="shared" si="63"/>
        <v>932.6590394768175</v>
      </c>
      <c r="AD52" s="154"/>
      <c r="AE52" s="127" t="s">
        <v>65</v>
      </c>
      <c r="AF52" s="61">
        <f t="shared" ref="AF52:AH52" si="64">AF50*AF48</f>
        <v>2414.4650687855856</v>
      </c>
      <c r="AG52" s="61">
        <f t="shared" si="64"/>
        <v>2151.6291164006439</v>
      </c>
      <c r="AH52" s="102">
        <f t="shared" si="64"/>
        <v>2205.6950461645661</v>
      </c>
      <c r="AJ52" s="127" t="s">
        <v>65</v>
      </c>
      <c r="AK52" s="61">
        <f t="shared" ref="AK52:AM52" si="65">AK50*AK48</f>
        <v>2299.4905417005575</v>
      </c>
      <c r="AL52" s="61">
        <f t="shared" si="65"/>
        <v>2049.1705870482324</v>
      </c>
      <c r="AM52" s="102">
        <f t="shared" si="65"/>
        <v>2100.6619487281587</v>
      </c>
      <c r="AO52" s="127" t="s">
        <v>65</v>
      </c>
      <c r="AP52" s="61">
        <f t="shared" ref="AP52:AR52" si="66">AP50*AP48</f>
        <v>1633.0199427885914</v>
      </c>
      <c r="AQ52" s="61">
        <f t="shared" si="66"/>
        <v>1455.2512281049999</v>
      </c>
      <c r="AR52" s="102">
        <f t="shared" si="66"/>
        <v>1491.8186411818438</v>
      </c>
      <c r="AT52" s="127" t="s">
        <v>65</v>
      </c>
      <c r="AU52" s="61">
        <f t="shared" ref="AU52:AW52" si="67">AU50*AU48</f>
        <v>1555.2570883700871</v>
      </c>
      <c r="AV52" s="61">
        <f t="shared" si="67"/>
        <v>1385.9535505761905</v>
      </c>
      <c r="AW52" s="102">
        <f t="shared" si="67"/>
        <v>1420.779658268423</v>
      </c>
      <c r="AY52" s="127" t="s">
        <v>65</v>
      </c>
      <c r="AZ52" s="61">
        <f t="shared" ref="AZ52:BB52" si="68">AZ50*AZ48</f>
        <v>1624.3372191664021</v>
      </c>
      <c r="BA52" s="61">
        <f t="shared" si="68"/>
        <v>1447.5136960128259</v>
      </c>
      <c r="BB52" s="102">
        <f t="shared" si="68"/>
        <v>1483.8866811264802</v>
      </c>
      <c r="BC52" s="255"/>
      <c r="BD52" s="138" t="s">
        <v>194</v>
      </c>
      <c r="BE52" s="61">
        <f t="shared" ref="BE52:BG52" si="69">BE50*BE48</f>
        <v>3053.7128800195169</v>
      </c>
      <c r="BF52" s="61">
        <f t="shared" si="69"/>
        <v>2721.2891297211572</v>
      </c>
      <c r="BG52" s="102">
        <f t="shared" si="69"/>
        <v>2789.6694215815664</v>
      </c>
      <c r="BH52" s="253"/>
      <c r="BI52" s="138" t="s">
        <v>218</v>
      </c>
      <c r="BJ52" s="101">
        <f>BJ50*BJ48</f>
        <v>1297.7066912905102</v>
      </c>
      <c r="BK52" s="61">
        <f t="shared" ref="BK52:BL52" si="70">BK50*BK48</f>
        <v>1161.9066533448583</v>
      </c>
      <c r="BL52" s="61">
        <f t="shared" si="70"/>
        <v>1193.8275595911568</v>
      </c>
    </row>
    <row r="53" spans="2:64" x14ac:dyDescent="0.25">
      <c r="B53" s="268">
        <v>15</v>
      </c>
      <c r="C53" s="268">
        <v>20</v>
      </c>
      <c r="D53" s="1">
        <f t="shared" si="24"/>
        <v>17.5</v>
      </c>
      <c r="E53" s="1">
        <f>'SAS MN Bin Data by Zone'!H20</f>
        <v>489</v>
      </c>
      <c r="F53" s="280">
        <f t="shared" si="30"/>
        <v>0.10068117627512875</v>
      </c>
      <c r="G53" s="45">
        <f t="shared" si="0"/>
        <v>12885.075000000003</v>
      </c>
      <c r="H53" s="45">
        <f t="shared" si="1"/>
        <v>6300801.6750000017</v>
      </c>
      <c r="I53" s="1">
        <f t="shared" si="2"/>
        <v>17.5</v>
      </c>
      <c r="J53" s="1">
        <f>'SAS MN Bin Data by Zone'!M20</f>
        <v>415</v>
      </c>
      <c r="K53" s="280">
        <f t="shared" si="31"/>
        <v>9.2968424227906285E-2</v>
      </c>
      <c r="L53" s="45">
        <f t="shared" si="26"/>
        <v>12885.075000000003</v>
      </c>
      <c r="M53" s="45">
        <f t="shared" si="27"/>
        <v>5347306.1250000009</v>
      </c>
      <c r="N53" s="1">
        <f t="shared" si="25"/>
        <v>17.5</v>
      </c>
      <c r="O53" s="1">
        <f>'SAS MN Bin Data by Zone'!R20</f>
        <v>389</v>
      </c>
      <c r="P53" s="280">
        <f t="shared" si="32"/>
        <v>0.10053145622075008</v>
      </c>
      <c r="Q53" s="45">
        <f t="shared" si="28"/>
        <v>12885.075000000003</v>
      </c>
      <c r="R53" s="45">
        <f t="shared" si="29"/>
        <v>5012294.1750000007</v>
      </c>
      <c r="S53" s="76"/>
      <c r="U53" s="127" t="s">
        <v>66</v>
      </c>
      <c r="V53" s="61">
        <f t="shared" ref="V53:X53" si="71">V51*V49</f>
        <v>119.8241908032925</v>
      </c>
      <c r="W53" s="61">
        <f t="shared" si="71"/>
        <v>106.78026413162641</v>
      </c>
      <c r="X53" s="102">
        <f t="shared" si="71"/>
        <v>109.4634283520341</v>
      </c>
      <c r="Z53" s="127" t="s">
        <v>66</v>
      </c>
      <c r="AA53" s="61">
        <f t="shared" ref="AA53:AC53" si="72">AA51*AA49</f>
        <v>0</v>
      </c>
      <c r="AB53" s="61">
        <f t="shared" si="72"/>
        <v>0</v>
      </c>
      <c r="AC53" s="102">
        <f t="shared" si="72"/>
        <v>0</v>
      </c>
      <c r="AD53" s="154"/>
      <c r="AE53" s="127" t="s">
        <v>66</v>
      </c>
      <c r="AF53" s="61">
        <f t="shared" ref="AF53:AH53" si="73">AF51*AF49</f>
        <v>119.8241908032925</v>
      </c>
      <c r="AG53" s="61">
        <f t="shared" si="73"/>
        <v>106.78026413162641</v>
      </c>
      <c r="AH53" s="102">
        <f t="shared" si="73"/>
        <v>109.4634283520341</v>
      </c>
      <c r="AJ53" s="127" t="s">
        <v>66</v>
      </c>
      <c r="AK53" s="61">
        <f t="shared" ref="AK53:AM53" si="74">AK51*AK49</f>
        <v>0</v>
      </c>
      <c r="AL53" s="61">
        <f t="shared" si="74"/>
        <v>0</v>
      </c>
      <c r="AM53" s="102">
        <f t="shared" si="74"/>
        <v>0</v>
      </c>
      <c r="AO53" s="127" t="s">
        <v>66</v>
      </c>
      <c r="AP53" s="61">
        <f t="shared" ref="AP53:AR53" si="75">AP51*AP49</f>
        <v>119.8241908032925</v>
      </c>
      <c r="AQ53" s="61">
        <f t="shared" si="75"/>
        <v>106.78026413162641</v>
      </c>
      <c r="AR53" s="102">
        <f t="shared" si="75"/>
        <v>109.4634283520341</v>
      </c>
      <c r="AT53" s="127" t="s">
        <v>66</v>
      </c>
      <c r="AU53" s="61">
        <f t="shared" ref="AU53:AW53" si="76">AU51*AU49</f>
        <v>0</v>
      </c>
      <c r="AV53" s="61">
        <f t="shared" si="76"/>
        <v>0</v>
      </c>
      <c r="AW53" s="102">
        <f t="shared" si="76"/>
        <v>0</v>
      </c>
      <c r="AY53" s="127" t="s">
        <v>66</v>
      </c>
      <c r="AZ53" s="61">
        <f t="shared" ref="AZ53:BB53" si="77">AZ51*AZ49</f>
        <v>0</v>
      </c>
      <c r="BA53" s="61">
        <f t="shared" si="77"/>
        <v>0</v>
      </c>
      <c r="BB53" s="102">
        <f t="shared" si="77"/>
        <v>0</v>
      </c>
      <c r="BD53" s="138"/>
      <c r="BE53" s="61"/>
      <c r="BF53" s="61"/>
      <c r="BG53" s="102"/>
      <c r="BI53" s="138"/>
      <c r="BJ53" s="101"/>
      <c r="BK53" s="61"/>
      <c r="BL53" s="61"/>
    </row>
    <row r="54" spans="2:64" x14ac:dyDescent="0.25">
      <c r="B54" s="268">
        <v>10</v>
      </c>
      <c r="C54" s="268">
        <v>15</v>
      </c>
      <c r="D54" s="1">
        <f t="shared" si="24"/>
        <v>12.5</v>
      </c>
      <c r="E54" s="1">
        <f>'SAS MN Bin Data by Zone'!H21</f>
        <v>259</v>
      </c>
      <c r="F54" s="280">
        <f t="shared" si="30"/>
        <v>5.8605825927507668E-2</v>
      </c>
      <c r="G54" s="45">
        <f t="shared" si="0"/>
        <v>14160.825000000003</v>
      </c>
      <c r="H54" s="45">
        <f t="shared" si="1"/>
        <v>3667653.6750000007</v>
      </c>
      <c r="I54" s="1">
        <f t="shared" si="2"/>
        <v>12.5</v>
      </c>
      <c r="J54" s="1">
        <f>'SAS MN Bin Data by Zone'!M21</f>
        <v>314</v>
      </c>
      <c r="K54" s="280">
        <f t="shared" si="31"/>
        <v>7.7306965478693673E-2</v>
      </c>
      <c r="L54" s="45">
        <f t="shared" si="26"/>
        <v>14160.825000000003</v>
      </c>
      <c r="M54" s="45">
        <f t="shared" si="27"/>
        <v>4446499.0500000007</v>
      </c>
      <c r="N54" s="1">
        <f t="shared" si="25"/>
        <v>12.5</v>
      </c>
      <c r="O54" s="1">
        <f>'SAS MN Bin Data by Zone'!R21</f>
        <v>273</v>
      </c>
      <c r="P54" s="280">
        <f t="shared" si="32"/>
        <v>7.7538362336974462E-2</v>
      </c>
      <c r="Q54" s="45">
        <f t="shared" si="28"/>
        <v>14160.825000000003</v>
      </c>
      <c r="R54" s="45">
        <f t="shared" si="29"/>
        <v>3865905.2250000006</v>
      </c>
      <c r="S54" s="76"/>
      <c r="U54" s="127" t="s">
        <v>67</v>
      </c>
      <c r="V54" s="62">
        <f t="shared" ref="V54:X54" si="78">V53+V52</f>
        <v>1191.8066072350673</v>
      </c>
      <c r="W54" s="62">
        <f t="shared" si="78"/>
        <v>1062.0678801269332</v>
      </c>
      <c r="X54" s="104">
        <f t="shared" si="78"/>
        <v>1088.7554198026924</v>
      </c>
      <c r="Z54" s="127" t="s">
        <v>67</v>
      </c>
      <c r="AA54" s="62">
        <f t="shared" ref="AA54:AC54" si="79">AA53+AA52</f>
        <v>1020.9356346969283</v>
      </c>
      <c r="AB54" s="62">
        <f t="shared" si="79"/>
        <v>909.79772951933978</v>
      </c>
      <c r="AC54" s="104">
        <f t="shared" si="79"/>
        <v>932.6590394768175</v>
      </c>
      <c r="AD54" s="155"/>
      <c r="AE54" s="127" t="s">
        <v>67</v>
      </c>
      <c r="AF54" s="62">
        <f t="shared" ref="AF54:AH54" si="80">AF53+AF52</f>
        <v>2534.2892595888779</v>
      </c>
      <c r="AG54" s="62">
        <f t="shared" si="80"/>
        <v>2258.4093805322705</v>
      </c>
      <c r="AH54" s="104">
        <f t="shared" si="80"/>
        <v>2315.1584745166001</v>
      </c>
      <c r="AJ54" s="127" t="s">
        <v>67</v>
      </c>
      <c r="AK54" s="62">
        <f t="shared" ref="AK54:AM54" si="81">AK53+AK52</f>
        <v>2299.4905417005575</v>
      </c>
      <c r="AL54" s="62">
        <f t="shared" si="81"/>
        <v>2049.1705870482324</v>
      </c>
      <c r="AM54" s="104">
        <f t="shared" si="81"/>
        <v>2100.6619487281587</v>
      </c>
      <c r="AO54" s="127" t="s">
        <v>67</v>
      </c>
      <c r="AP54" s="62">
        <f t="shared" ref="AP54:AR54" si="82">AP53+AP52</f>
        <v>1752.844133591884</v>
      </c>
      <c r="AQ54" s="62">
        <f t="shared" si="82"/>
        <v>1562.0314922366263</v>
      </c>
      <c r="AR54" s="104">
        <f t="shared" si="82"/>
        <v>1601.2820695338778</v>
      </c>
      <c r="AT54" s="127" t="s">
        <v>67</v>
      </c>
      <c r="AU54" s="62">
        <f t="shared" ref="AU54:AW54" si="83">AU53+AU52</f>
        <v>1555.2570883700871</v>
      </c>
      <c r="AV54" s="62">
        <f t="shared" si="83"/>
        <v>1385.9535505761905</v>
      </c>
      <c r="AW54" s="104">
        <f t="shared" si="83"/>
        <v>1420.779658268423</v>
      </c>
      <c r="AY54" s="127" t="s">
        <v>67</v>
      </c>
      <c r="AZ54" s="62">
        <f t="shared" ref="AZ54:BB54" si="84">AZ53+AZ52</f>
        <v>1624.3372191664021</v>
      </c>
      <c r="BA54" s="62">
        <f t="shared" si="84"/>
        <v>1447.5136960128259</v>
      </c>
      <c r="BB54" s="104">
        <f t="shared" si="84"/>
        <v>1483.8866811264802</v>
      </c>
      <c r="BD54" s="138" t="s">
        <v>67</v>
      </c>
      <c r="BE54" s="62">
        <f t="shared" ref="BE54:BG54" si="85">BE53+BE52</f>
        <v>3053.7128800195169</v>
      </c>
      <c r="BF54" s="62">
        <f t="shared" si="85"/>
        <v>2721.2891297211572</v>
      </c>
      <c r="BG54" s="104">
        <f t="shared" si="85"/>
        <v>2789.6694215815664</v>
      </c>
      <c r="BI54" s="138" t="s">
        <v>67</v>
      </c>
      <c r="BJ54" s="103">
        <f>BJ53+BJ52</f>
        <v>1297.7066912905102</v>
      </c>
      <c r="BK54" s="62">
        <f t="shared" ref="BK54:BL54" si="86">BK53+BK52</f>
        <v>1161.9066533448583</v>
      </c>
      <c r="BL54" s="62">
        <f t="shared" si="86"/>
        <v>1193.8275595911568</v>
      </c>
    </row>
    <row r="55" spans="2:64" x14ac:dyDescent="0.25">
      <c r="B55" s="268">
        <v>5</v>
      </c>
      <c r="C55" s="268">
        <v>10</v>
      </c>
      <c r="D55" s="1">
        <f t="shared" si="24"/>
        <v>7.5</v>
      </c>
      <c r="E55" s="1">
        <f>'SAS MN Bin Data by Zone'!H22</f>
        <v>319</v>
      </c>
      <c r="F55" s="280">
        <f t="shared" si="30"/>
        <v>7.8685389925766749E-2</v>
      </c>
      <c r="G55" s="45">
        <f t="shared" si="0"/>
        <v>15436.575000000003</v>
      </c>
      <c r="H55" s="45">
        <f t="shared" si="1"/>
        <v>4924267.4250000007</v>
      </c>
      <c r="I55" s="1">
        <f t="shared" si="2"/>
        <v>7.5</v>
      </c>
      <c r="J55" s="1">
        <f>'SAS MN Bin Data by Zone'!M22</f>
        <v>248</v>
      </c>
      <c r="K55" s="280">
        <f t="shared" si="31"/>
        <v>6.6558427155696334E-2</v>
      </c>
      <c r="L55" s="45">
        <f t="shared" si="26"/>
        <v>15436.575000000003</v>
      </c>
      <c r="M55" s="45">
        <f t="shared" si="27"/>
        <v>3828270.6000000006</v>
      </c>
      <c r="N55" s="1">
        <f t="shared" si="25"/>
        <v>7.5</v>
      </c>
      <c r="O55" s="1">
        <f>'SAS MN Bin Data by Zone'!R22</f>
        <v>202</v>
      </c>
      <c r="P55" s="280">
        <f t="shared" si="32"/>
        <v>6.2541420065350947E-2</v>
      </c>
      <c r="Q55" s="45">
        <f t="shared" si="28"/>
        <v>15436.575000000003</v>
      </c>
      <c r="R55" s="45">
        <f t="shared" si="29"/>
        <v>3118188.1500000004</v>
      </c>
      <c r="S55" s="76"/>
      <c r="U55" s="127" t="s">
        <v>69</v>
      </c>
      <c r="V55" s="58">
        <f>$C$98*V48</f>
        <v>5.3208398258590233</v>
      </c>
      <c r="W55" s="58">
        <f>$C$98*W48</f>
        <v>4.7416191855617509</v>
      </c>
      <c r="X55" s="106">
        <f>$C$98*X48</f>
        <v>4.8607661370041546</v>
      </c>
      <c r="Z55" s="127" t="s">
        <v>69</v>
      </c>
      <c r="AA55" s="58">
        <f>$C$98*AA48</f>
        <v>5.0674665008181172</v>
      </c>
      <c r="AB55" s="58">
        <f>$C$98*AB48</f>
        <v>4.5158277957730961</v>
      </c>
      <c r="AC55" s="106">
        <f>$C$98*AC48</f>
        <v>4.6293010828611001</v>
      </c>
      <c r="AD55" s="156"/>
      <c r="AE55" s="127" t="s">
        <v>164</v>
      </c>
      <c r="AF55" s="58">
        <f>$C$99*AF48</f>
        <v>6.3226925514961954</v>
      </c>
      <c r="AG55" s="58">
        <f>$C$99*AG48</f>
        <v>5.6344113500433464</v>
      </c>
      <c r="AH55" s="106">
        <f>$C$99*AH48</f>
        <v>5.7759922972384148</v>
      </c>
      <c r="AJ55" s="127" t="s">
        <v>164</v>
      </c>
      <c r="AK55" s="58">
        <f>$C$99*AK48</f>
        <v>6.021611953805901</v>
      </c>
      <c r="AL55" s="58">
        <f>$C$99*AL48</f>
        <v>5.3661060476603302</v>
      </c>
      <c r="AM55" s="106">
        <f>$C$99*AM48</f>
        <v>5.500945044988967</v>
      </c>
      <c r="AO55" s="127" t="s">
        <v>174</v>
      </c>
      <c r="AP55" s="58">
        <f>$C$101*AP48</f>
        <v>7.5579769622068298</v>
      </c>
      <c r="AQ55" s="58">
        <f>$C$101*AQ48</f>
        <v>6.7352240888491535</v>
      </c>
      <c r="AR55" s="106">
        <f>$C$101*AR48</f>
        <v>6.9044661528072577</v>
      </c>
      <c r="AT55" s="127" t="s">
        <v>174</v>
      </c>
      <c r="AU55" s="58">
        <f>$C$101*AU48</f>
        <v>7.198073297339838</v>
      </c>
      <c r="AV55" s="58">
        <f>$C$101*AV48</f>
        <v>6.4144991322372888</v>
      </c>
      <c r="AW55" s="106">
        <f>$C$101*AW48</f>
        <v>6.5756820502926274</v>
      </c>
      <c r="AY55" s="127" t="s">
        <v>179</v>
      </c>
      <c r="AZ55" s="58">
        <f>$C$100*AZ48</f>
        <v>10.137146619087163</v>
      </c>
      <c r="BA55" s="58">
        <f>$C$100*BA48</f>
        <v>9.0336282370905696</v>
      </c>
      <c r="BB55" s="106">
        <f>$C$100*BB48</f>
        <v>9.2606243797143346</v>
      </c>
      <c r="BD55" s="138" t="s">
        <v>181</v>
      </c>
      <c r="BE55" s="58">
        <f t="shared" ref="BE55:BG56" si="87">$C$97*BE48</f>
        <v>10.523564386528797</v>
      </c>
      <c r="BF55" s="58">
        <f t="shared" si="87"/>
        <v>9.3779810008852191</v>
      </c>
      <c r="BG55" s="106">
        <f t="shared" si="87"/>
        <v>9.6136300066810918</v>
      </c>
      <c r="BI55" s="138" t="s">
        <v>220</v>
      </c>
      <c r="BJ55" s="105">
        <f t="shared" ref="BJ55:BL55" si="88">$C$97*BJ48</f>
        <v>4.4720969053703739</v>
      </c>
      <c r="BK55" s="58">
        <f t="shared" si="88"/>
        <v>4.0041090822961278</v>
      </c>
      <c r="BL55" s="58">
        <f t="shared" si="88"/>
        <v>4.114113436129526</v>
      </c>
    </row>
    <row r="56" spans="2:64" x14ac:dyDescent="0.25">
      <c r="B56" s="268">
        <v>0</v>
      </c>
      <c r="C56" s="268">
        <v>5</v>
      </c>
      <c r="D56" s="1">
        <f t="shared" si="24"/>
        <v>2.5</v>
      </c>
      <c r="E56" s="1">
        <f>'SAS MN Bin Data by Zone'!H23</f>
        <v>224</v>
      </c>
      <c r="F56" s="280">
        <f t="shared" si="30"/>
        <v>5.9818753905067482E-2</v>
      </c>
      <c r="G56" s="45">
        <f t="shared" si="0"/>
        <v>16712.325000000004</v>
      </c>
      <c r="H56" s="45">
        <f t="shared" si="1"/>
        <v>3743560.8000000007</v>
      </c>
      <c r="I56" s="1">
        <f t="shared" si="2"/>
        <v>2.5</v>
      </c>
      <c r="J56" s="1">
        <f>'SAS MN Bin Data by Zone'!M23</f>
        <v>196</v>
      </c>
      <c r="K56" s="280">
        <f t="shared" si="31"/>
        <v>5.6949952534312814E-2</v>
      </c>
      <c r="L56" s="45">
        <f t="shared" ref="L56:L66" si="89">IF(I56&lt;=60,IF(I56&lt;&gt;"",1.08*($C$14-I56)*$C$13,0),0)</f>
        <v>16712.325000000004</v>
      </c>
      <c r="M56" s="45">
        <f t="shared" ref="M56:M66" si="90">L56*J56</f>
        <v>3275615.7000000007</v>
      </c>
      <c r="N56" s="1">
        <f t="shared" si="25"/>
        <v>2.5</v>
      </c>
      <c r="O56" s="1">
        <f>'SAS MN Bin Data by Zone'!R23</f>
        <v>157</v>
      </c>
      <c r="P56" s="280">
        <f t="shared" si="32"/>
        <v>5.262619206628235E-2</v>
      </c>
      <c r="Q56" s="45">
        <f t="shared" si="28"/>
        <v>16712.325000000004</v>
      </c>
      <c r="R56" s="45">
        <f t="shared" si="29"/>
        <v>2623835.0250000008</v>
      </c>
      <c r="S56" s="76"/>
      <c r="U56" s="127" t="s">
        <v>71</v>
      </c>
      <c r="V56" s="67">
        <f>$C$97*V49</f>
        <v>0.41293259599903875</v>
      </c>
      <c r="W56" s="67">
        <f>$C$97*W49</f>
        <v>0.36798121793052796</v>
      </c>
      <c r="X56" s="108">
        <f>$C$97*X49</f>
        <v>0.37722781462854832</v>
      </c>
      <c r="Z56" s="127" t="s">
        <v>71</v>
      </c>
      <c r="AA56" s="67">
        <f>$C$97*AA49</f>
        <v>0</v>
      </c>
      <c r="AB56" s="67">
        <f>$C$97*AB49</f>
        <v>0</v>
      </c>
      <c r="AC56" s="108">
        <f>$C$97*AC49</f>
        <v>0</v>
      </c>
      <c r="AD56" s="157"/>
      <c r="AE56" s="127" t="s">
        <v>71</v>
      </c>
      <c r="AF56" s="67">
        <f>$C$97*AF49</f>
        <v>0.41293259599903875</v>
      </c>
      <c r="AG56" s="67">
        <f>$C$97*AG49</f>
        <v>0.36798121793052796</v>
      </c>
      <c r="AH56" s="108">
        <f>$C$97*AH49</f>
        <v>0.37722781462854832</v>
      </c>
      <c r="AJ56" s="127" t="s">
        <v>71</v>
      </c>
      <c r="AK56" s="67">
        <f>$C$97*AK49</f>
        <v>0</v>
      </c>
      <c r="AL56" s="67">
        <f>$C$97*AL49</f>
        <v>0</v>
      </c>
      <c r="AM56" s="108">
        <f>$C$97*AM49</f>
        <v>0</v>
      </c>
      <c r="AO56" s="127" t="s">
        <v>71</v>
      </c>
      <c r="AP56" s="67">
        <f>$C$97*AP49</f>
        <v>0.41293259599903875</v>
      </c>
      <c r="AQ56" s="67">
        <f>$C$97*AQ49</f>
        <v>0.36798121793052796</v>
      </c>
      <c r="AR56" s="108">
        <f>$C$97*AR49</f>
        <v>0.37722781462854832</v>
      </c>
      <c r="AT56" s="127" t="s">
        <v>71</v>
      </c>
      <c r="AU56" s="67">
        <f>$C$97*AU49</f>
        <v>0</v>
      </c>
      <c r="AV56" s="67">
        <f>$C$97*AV49</f>
        <v>0</v>
      </c>
      <c r="AW56" s="108">
        <f>$C$97*AW49</f>
        <v>0</v>
      </c>
      <c r="AY56" s="127" t="s">
        <v>71</v>
      </c>
      <c r="AZ56" s="67">
        <f>$C$97*AZ49</f>
        <v>0</v>
      </c>
      <c r="BA56" s="67">
        <f>$C$97*BA49</f>
        <v>0</v>
      </c>
      <c r="BB56" s="108">
        <f>$C$97*BB49</f>
        <v>0</v>
      </c>
      <c r="BD56" s="138" t="s">
        <v>182</v>
      </c>
      <c r="BE56" s="67">
        <f t="shared" si="87"/>
        <v>0</v>
      </c>
      <c r="BF56" s="67">
        <f t="shared" si="87"/>
        <v>0</v>
      </c>
      <c r="BG56" s="108">
        <f t="shared" si="87"/>
        <v>0</v>
      </c>
      <c r="BI56" s="138" t="s">
        <v>221</v>
      </c>
      <c r="BJ56" s="107"/>
      <c r="BK56" s="67"/>
      <c r="BL56" s="67"/>
    </row>
    <row r="57" spans="2:64" x14ac:dyDescent="0.25">
      <c r="B57" s="268">
        <v>-5</v>
      </c>
      <c r="C57" s="268">
        <v>0</v>
      </c>
      <c r="D57" s="1">
        <f t="shared" si="24"/>
        <v>-2.5</v>
      </c>
      <c r="E57" s="1">
        <f>'SAS MN Bin Data by Zone'!H24</f>
        <v>178.5</v>
      </c>
      <c r="F57" s="280">
        <f t="shared" si="30"/>
        <v>5.1306853450780079E-2</v>
      </c>
      <c r="G57" s="45">
        <f t="shared" si="0"/>
        <v>17988.075000000001</v>
      </c>
      <c r="H57" s="45">
        <f t="shared" si="1"/>
        <v>3210871.3875000002</v>
      </c>
      <c r="I57" s="1">
        <f t="shared" si="2"/>
        <v>-2.5</v>
      </c>
      <c r="J57" s="1">
        <f>'SAS MN Bin Data by Zone'!M24</f>
        <v>148</v>
      </c>
      <c r="K57" s="280">
        <f t="shared" si="31"/>
        <v>4.6285699076415318E-2</v>
      </c>
      <c r="L57" s="45">
        <f t="shared" si="89"/>
        <v>17988.075000000001</v>
      </c>
      <c r="M57" s="45">
        <f t="shared" si="90"/>
        <v>2662235.1</v>
      </c>
      <c r="N57" s="1">
        <f t="shared" si="25"/>
        <v>-2.5</v>
      </c>
      <c r="O57" s="1">
        <f>'SAS MN Bin Data by Zone'!R24</f>
        <v>114</v>
      </c>
      <c r="P57" s="280">
        <f t="shared" si="32"/>
        <v>4.1129645124394522E-2</v>
      </c>
      <c r="Q57" s="45">
        <f t="shared" ref="Q57:Q66" si="91">IF(N57&lt;=60,IF(N57&lt;&gt;"",1.08*($C$14-N57)*$C$13,0),0)</f>
        <v>17988.075000000001</v>
      </c>
      <c r="R57" s="45">
        <f t="shared" ref="R57:R66" si="92">Q57*O57</f>
        <v>2050640.55</v>
      </c>
      <c r="S57" s="76"/>
      <c r="U57" s="127" t="s">
        <v>72</v>
      </c>
      <c r="V57" s="58">
        <f t="shared" ref="V57:X57" si="93">V56+V55</f>
        <v>5.7337724218580624</v>
      </c>
      <c r="W57" s="58">
        <f t="shared" si="93"/>
        <v>5.1096004034922791</v>
      </c>
      <c r="X57" s="106">
        <f t="shared" si="93"/>
        <v>5.2379939516327028</v>
      </c>
      <c r="Z57" s="127" t="s">
        <v>72</v>
      </c>
      <c r="AA57" s="58">
        <f t="shared" ref="AA57:AC57" si="94">AA56+AA55</f>
        <v>5.0674665008181172</v>
      </c>
      <c r="AB57" s="58">
        <f t="shared" si="94"/>
        <v>4.5158277957730961</v>
      </c>
      <c r="AC57" s="106">
        <f t="shared" si="94"/>
        <v>4.6293010828611001</v>
      </c>
      <c r="AD57" s="156"/>
      <c r="AE57" s="127" t="s">
        <v>72</v>
      </c>
      <c r="AF57" s="58">
        <f t="shared" ref="AF57:AH57" si="95">AF56+AF55</f>
        <v>6.7356251474952344</v>
      </c>
      <c r="AG57" s="58">
        <f t="shared" si="95"/>
        <v>6.0023925679738745</v>
      </c>
      <c r="AH57" s="106">
        <f t="shared" si="95"/>
        <v>6.1532201118669629</v>
      </c>
      <c r="AJ57" s="127" t="s">
        <v>72</v>
      </c>
      <c r="AK57" s="58">
        <f t="shared" ref="AK57:AM57" si="96">AK56+AK55</f>
        <v>6.021611953805901</v>
      </c>
      <c r="AL57" s="58">
        <f t="shared" si="96"/>
        <v>5.3661060476603302</v>
      </c>
      <c r="AM57" s="106">
        <f t="shared" si="96"/>
        <v>5.500945044988967</v>
      </c>
      <c r="AO57" s="127" t="s">
        <v>72</v>
      </c>
      <c r="AP57" s="58">
        <f t="shared" ref="AP57:AR57" si="97">AP56+AP55</f>
        <v>7.9709095582058689</v>
      </c>
      <c r="AQ57" s="58">
        <f t="shared" si="97"/>
        <v>7.1032053067796816</v>
      </c>
      <c r="AR57" s="106">
        <f t="shared" si="97"/>
        <v>7.2816939674358059</v>
      </c>
      <c r="AT57" s="127" t="s">
        <v>72</v>
      </c>
      <c r="AU57" s="58">
        <f t="shared" ref="AU57:AW57" si="98">AU56+AU55</f>
        <v>7.198073297339838</v>
      </c>
      <c r="AV57" s="58">
        <f t="shared" si="98"/>
        <v>6.4144991322372888</v>
      </c>
      <c r="AW57" s="106">
        <f t="shared" si="98"/>
        <v>6.5756820502926274</v>
      </c>
      <c r="AY57" s="127" t="s">
        <v>72</v>
      </c>
      <c r="AZ57" s="58">
        <f t="shared" ref="AZ57:BB57" si="99">AZ56+AZ55</f>
        <v>10.137146619087163</v>
      </c>
      <c r="BA57" s="58">
        <f t="shared" si="99"/>
        <v>9.0336282370905696</v>
      </c>
      <c r="BB57" s="106">
        <f t="shared" si="99"/>
        <v>9.2606243797143346</v>
      </c>
      <c r="BD57" s="138" t="s">
        <v>72</v>
      </c>
      <c r="BE57" s="58">
        <f t="shared" ref="BE57:BG57" si="100">BE56+BE55</f>
        <v>10.523564386528797</v>
      </c>
      <c r="BF57" s="58">
        <f t="shared" si="100"/>
        <v>9.3779810008852191</v>
      </c>
      <c r="BG57" s="106">
        <f t="shared" si="100"/>
        <v>9.6136300066810918</v>
      </c>
      <c r="BI57" s="138" t="s">
        <v>72</v>
      </c>
      <c r="BJ57" s="105">
        <f t="shared" ref="BJ57:BL57" si="101">BJ56+BJ55</f>
        <v>4.4720969053703739</v>
      </c>
      <c r="BK57" s="58">
        <f t="shared" si="101"/>
        <v>4.0041090822961278</v>
      </c>
      <c r="BL57" s="58">
        <f t="shared" si="101"/>
        <v>4.114113436129526</v>
      </c>
    </row>
    <row r="58" spans="2:64" x14ac:dyDescent="0.25">
      <c r="B58" s="268">
        <v>-10</v>
      </c>
      <c r="C58" s="268">
        <v>-5</v>
      </c>
      <c r="D58" s="1">
        <f t="shared" si="24"/>
        <v>-7.5</v>
      </c>
      <c r="E58" s="1">
        <f>'SAS MN Bin Data by Zone'!H25</f>
        <v>141</v>
      </c>
      <c r="F58" s="280">
        <f t="shared" si="30"/>
        <v>4.3402436252480636E-2</v>
      </c>
      <c r="G58" s="45">
        <f t="shared" si="0"/>
        <v>19263.825000000004</v>
      </c>
      <c r="H58" s="45">
        <f t="shared" si="1"/>
        <v>2716199.3250000007</v>
      </c>
      <c r="I58" s="1">
        <f t="shared" si="2"/>
        <v>-7.5</v>
      </c>
      <c r="J58" s="1">
        <f>'SAS MN Bin Data by Zone'!M25</f>
        <v>107</v>
      </c>
      <c r="K58" s="280">
        <f t="shared" si="31"/>
        <v>3.5836593826799039E-2</v>
      </c>
      <c r="L58" s="45">
        <f t="shared" si="89"/>
        <v>19263.825000000004</v>
      </c>
      <c r="M58" s="45">
        <f t="shared" si="90"/>
        <v>2061229.2750000004</v>
      </c>
      <c r="N58" s="1">
        <f t="shared" si="25"/>
        <v>-7.5</v>
      </c>
      <c r="O58" s="1">
        <f>'SAS MN Bin Data by Zone'!R25</f>
        <v>67</v>
      </c>
      <c r="P58" s="280">
        <f t="shared" si="32"/>
        <v>2.5887061075245708E-2</v>
      </c>
      <c r="Q58" s="45">
        <f t="shared" si="91"/>
        <v>19263.825000000004</v>
      </c>
      <c r="R58" s="45">
        <f t="shared" si="92"/>
        <v>1290676.2750000004</v>
      </c>
      <c r="S58" s="76"/>
      <c r="U58" s="130" t="s">
        <v>73</v>
      </c>
      <c r="V58" s="265"/>
      <c r="W58" s="265"/>
      <c r="X58" s="266"/>
      <c r="Z58" s="130" t="s">
        <v>73</v>
      </c>
      <c r="AA58" s="212"/>
      <c r="AB58" s="212"/>
      <c r="AC58" s="215"/>
      <c r="AD58" s="146"/>
      <c r="AE58" s="130" t="s">
        <v>73</v>
      </c>
      <c r="AF58" s="212"/>
      <c r="AG58" s="212"/>
      <c r="AH58" s="215"/>
      <c r="AJ58" s="130" t="s">
        <v>73</v>
      </c>
      <c r="AK58" s="212"/>
      <c r="AL58" s="212"/>
      <c r="AM58" s="215"/>
      <c r="AO58" s="130" t="s">
        <v>73</v>
      </c>
      <c r="AP58" s="212"/>
      <c r="AQ58" s="212"/>
      <c r="AR58" s="215"/>
      <c r="AT58" s="130" t="s">
        <v>73</v>
      </c>
      <c r="AU58" s="212"/>
      <c r="AV58" s="212"/>
      <c r="AW58" s="215"/>
      <c r="AY58" s="130" t="s">
        <v>73</v>
      </c>
      <c r="AZ58" s="212"/>
      <c r="BA58" s="212"/>
      <c r="BB58" s="215"/>
      <c r="BD58" s="142" t="s">
        <v>73</v>
      </c>
      <c r="BE58" s="212"/>
      <c r="BF58" s="212"/>
      <c r="BG58" s="215"/>
      <c r="BI58" s="139" t="s">
        <v>73</v>
      </c>
      <c r="BJ58" s="214"/>
      <c r="BK58" s="219"/>
      <c r="BL58" s="219"/>
    </row>
    <row r="59" spans="2:64" x14ac:dyDescent="0.25">
      <c r="B59" s="268">
        <v>-15</v>
      </c>
      <c r="C59" s="268">
        <v>-10</v>
      </c>
      <c r="D59" s="1">
        <f t="shared" si="24"/>
        <v>-12.5</v>
      </c>
      <c r="E59" s="1">
        <f>'SAS MN Bin Data by Zone'!H26</f>
        <v>62.5</v>
      </c>
      <c r="F59" s="280">
        <f t="shared" si="30"/>
        <v>2.0512752561673307E-2</v>
      </c>
      <c r="G59" s="45">
        <f t="shared" si="0"/>
        <v>20539.575000000004</v>
      </c>
      <c r="H59" s="45">
        <f t="shared" si="1"/>
        <v>1283723.4375000002</v>
      </c>
      <c r="I59" s="1">
        <f t="shared" si="2"/>
        <v>-12.5</v>
      </c>
      <c r="J59" s="1">
        <f>'SAS MN Bin Data by Zone'!M26</f>
        <v>68</v>
      </c>
      <c r="K59" s="280">
        <f t="shared" si="31"/>
        <v>2.4282913239821496E-2</v>
      </c>
      <c r="L59" s="45">
        <f t="shared" si="89"/>
        <v>20539.575000000004</v>
      </c>
      <c r="M59" s="45">
        <f t="shared" si="90"/>
        <v>1396691.1000000003</v>
      </c>
      <c r="N59" s="1">
        <f t="shared" si="25"/>
        <v>-12.5</v>
      </c>
      <c r="O59" s="1">
        <f>'SAS MN Bin Data by Zone'!R26</f>
        <v>28</v>
      </c>
      <c r="P59" s="280">
        <f t="shared" si="32"/>
        <v>1.1534928469626138E-2</v>
      </c>
      <c r="Q59" s="45">
        <f t="shared" si="91"/>
        <v>20539.575000000004</v>
      </c>
      <c r="R59" s="45">
        <f t="shared" si="92"/>
        <v>575108.10000000009</v>
      </c>
      <c r="S59" s="76"/>
      <c r="U59" s="127" t="s">
        <v>74</v>
      </c>
      <c r="V59" s="72">
        <f>(V32*V33/1000)*V41</f>
        <v>26177.120326595978</v>
      </c>
      <c r="W59" s="72">
        <f>(W32*W33/1000)*W41</f>
        <v>26102.496164284312</v>
      </c>
      <c r="X59" s="110">
        <f>(X32*X33/1000)*X41</f>
        <v>30041.420710271341</v>
      </c>
      <c r="Z59" s="127" t="s">
        <v>74</v>
      </c>
      <c r="AA59" s="72">
        <f>(AA32*AA33/1000)*AA41</f>
        <v>26177.120326595978</v>
      </c>
      <c r="AB59" s="72">
        <f>(AB32*AB33/1000)*AB41</f>
        <v>26102.496164284312</v>
      </c>
      <c r="AC59" s="110">
        <f>(AC32*AC33/1000)*AC41</f>
        <v>30041.420710271341</v>
      </c>
      <c r="AD59" s="158"/>
      <c r="AE59" s="127" t="s">
        <v>74</v>
      </c>
      <c r="AF59" s="72">
        <f>(AF32*AF33/1000)*AF41</f>
        <v>26177.120326595978</v>
      </c>
      <c r="AG59" s="72">
        <f>(AG32*AG33/1000)*AG41</f>
        <v>26102.496164284312</v>
      </c>
      <c r="AH59" s="110">
        <f>(AH32*AH33/1000)*AH41</f>
        <v>30041.420710271341</v>
      </c>
      <c r="AJ59" s="127" t="s">
        <v>74</v>
      </c>
      <c r="AK59" s="72">
        <f>(AK32*AK33/1000)*AK41</f>
        <v>26177.120326595978</v>
      </c>
      <c r="AL59" s="72">
        <f>(AL32*AL33/1000)*AL41</f>
        <v>26102.496164284312</v>
      </c>
      <c r="AM59" s="110">
        <f>(AM32*AM33/1000)*AM41</f>
        <v>30041.420710271341</v>
      </c>
      <c r="AO59" s="127" t="s">
        <v>74</v>
      </c>
      <c r="AP59" s="72">
        <f>(AP32*AP33/1000)*AP41</f>
        <v>26177.120326595978</v>
      </c>
      <c r="AQ59" s="72">
        <f>(AQ32*AQ33/1000)*AQ41</f>
        <v>26102.496164284312</v>
      </c>
      <c r="AR59" s="110">
        <f>(AR32*AR33/1000)*AR41</f>
        <v>30041.420710271341</v>
      </c>
      <c r="AT59" s="127" t="s">
        <v>74</v>
      </c>
      <c r="AU59" s="72">
        <f>(AU32*AU33/1000)*AU41</f>
        <v>26177.120326595978</v>
      </c>
      <c r="AV59" s="72">
        <f>(AV32*AV33/1000)*AV41</f>
        <v>26102.496164284312</v>
      </c>
      <c r="AW59" s="110">
        <f>(AW32*AW33/1000)*AW41</f>
        <v>30041.420710271341</v>
      </c>
      <c r="AY59" s="127" t="s">
        <v>74</v>
      </c>
      <c r="AZ59" s="72">
        <f>(AZ32*AZ33/1000)*AZ41</f>
        <v>26177.120326595978</v>
      </c>
      <c r="BA59" s="72">
        <f>(BA32*BA33/1000)*BA41</f>
        <v>26102.496164284312</v>
      </c>
      <c r="BB59" s="110">
        <f>(BB32*BB33/1000)*BB41</f>
        <v>30041.420710271341</v>
      </c>
      <c r="BD59" s="138" t="s">
        <v>74</v>
      </c>
      <c r="BE59" s="72">
        <f>(BE32*BE33/1000)*BE41</f>
        <v>26177.120326595978</v>
      </c>
      <c r="BF59" s="72">
        <f>(BF32*BF33/1000)*BF41</f>
        <v>26102.496164284312</v>
      </c>
      <c r="BG59" s="110">
        <f>(BG32*BG33/1000)*BG41</f>
        <v>30041.420710271341</v>
      </c>
      <c r="BI59" s="138" t="s">
        <v>74</v>
      </c>
      <c r="BJ59" s="109">
        <f>(BJ32*BJ33/1000)*BJ41</f>
        <v>79858.873310185241</v>
      </c>
      <c r="BK59" s="72">
        <f>(BK32*BK33/1000)*BK41</f>
        <v>71501.947898145125</v>
      </c>
      <c r="BL59" s="72">
        <f>(BL32*BL33/1000)*BL41</f>
        <v>73466.311359455809</v>
      </c>
    </row>
    <row r="60" spans="2:64" x14ac:dyDescent="0.25">
      <c r="B60" s="268">
        <v>-20</v>
      </c>
      <c r="C60" s="268">
        <v>-15</v>
      </c>
      <c r="D60" s="1">
        <f t="shared" si="24"/>
        <v>-17.5</v>
      </c>
      <c r="E60" s="1">
        <f>'SAS MN Bin Data by Zone'!H27</f>
        <v>68</v>
      </c>
      <c r="F60" s="280">
        <f t="shared" si="30"/>
        <v>2.3704078190026057E-2</v>
      </c>
      <c r="G60" s="45">
        <f t="shared" si="0"/>
        <v>21815.325000000004</v>
      </c>
      <c r="H60" s="45">
        <f t="shared" si="1"/>
        <v>1483442.1000000003</v>
      </c>
      <c r="I60" s="1">
        <f t="shared" si="2"/>
        <v>-17.5</v>
      </c>
      <c r="J60" s="1">
        <f>'SAS MN Bin Data by Zone'!M27</f>
        <v>44</v>
      </c>
      <c r="K60" s="280">
        <f t="shared" si="31"/>
        <v>1.6688403289771368E-2</v>
      </c>
      <c r="L60" s="45">
        <f t="shared" si="89"/>
        <v>21815.325000000004</v>
      </c>
      <c r="M60" s="45">
        <f t="shared" si="90"/>
        <v>959874.30000000016</v>
      </c>
      <c r="N60" s="1">
        <f t="shared" si="25"/>
        <v>-17.5</v>
      </c>
      <c r="O60" s="1">
        <f>'SAS MN Bin Data by Zone'!R27</f>
        <v>5</v>
      </c>
      <c r="P60" s="280">
        <f t="shared" si="32"/>
        <v>2.1877470810848158E-3</v>
      </c>
      <c r="Q60" s="45">
        <f t="shared" si="91"/>
        <v>21815.325000000004</v>
      </c>
      <c r="R60" s="45">
        <f t="shared" si="92"/>
        <v>109076.62500000003</v>
      </c>
      <c r="S60" s="76"/>
      <c r="U60" s="127" t="s">
        <v>75</v>
      </c>
      <c r="V60" s="72">
        <f t="shared" ref="V60:X60" si="102">(V43*V44/1000)*V40</f>
        <v>53876.252758733601</v>
      </c>
      <c r="W60" s="72">
        <f t="shared" si="102"/>
        <v>45349.56148326445</v>
      </c>
      <c r="X60" s="110">
        <f t="shared" si="102"/>
        <v>43278.172203842762</v>
      </c>
      <c r="Z60" s="127" t="s">
        <v>75</v>
      </c>
      <c r="AA60" s="72">
        <f t="shared" ref="AA60:AC60" si="103">(AA43*AA44/1000)*AA40</f>
        <v>53876.252758733601</v>
      </c>
      <c r="AB60" s="72">
        <f t="shared" si="103"/>
        <v>45349.56148326445</v>
      </c>
      <c r="AC60" s="110">
        <f t="shared" si="103"/>
        <v>43278.172203842762</v>
      </c>
      <c r="AD60" s="158"/>
      <c r="AE60" s="127" t="s">
        <v>75</v>
      </c>
      <c r="AF60" s="72">
        <f t="shared" ref="AF60:AH60" si="104">(AF43*AF44/1000)*AF40</f>
        <v>53876.252758733601</v>
      </c>
      <c r="AG60" s="72">
        <f t="shared" si="104"/>
        <v>45349.56148326445</v>
      </c>
      <c r="AH60" s="110">
        <f t="shared" si="104"/>
        <v>43278.172203842762</v>
      </c>
      <c r="AJ60" s="127" t="s">
        <v>75</v>
      </c>
      <c r="AK60" s="72">
        <f t="shared" ref="AK60:AM60" si="105">(AK43*AK44/1000)*AK40</f>
        <v>53876.252758733601</v>
      </c>
      <c r="AL60" s="72">
        <f t="shared" si="105"/>
        <v>45349.56148326445</v>
      </c>
      <c r="AM60" s="110">
        <f t="shared" si="105"/>
        <v>43278.172203842762</v>
      </c>
      <c r="AO60" s="127" t="s">
        <v>75</v>
      </c>
      <c r="AP60" s="72">
        <f t="shared" ref="AP60:AR60" si="106">(AP43*AP44/1000)*AP40</f>
        <v>53876.252758733601</v>
      </c>
      <c r="AQ60" s="72">
        <f t="shared" si="106"/>
        <v>45349.56148326445</v>
      </c>
      <c r="AR60" s="110">
        <f t="shared" si="106"/>
        <v>43278.172203842762</v>
      </c>
      <c r="AT60" s="127" t="s">
        <v>75</v>
      </c>
      <c r="AU60" s="72">
        <f t="shared" ref="AU60:AW60" si="107">(AU43*AU44/1000)*AU40</f>
        <v>53876.252758733601</v>
      </c>
      <c r="AV60" s="72">
        <f t="shared" si="107"/>
        <v>45349.56148326445</v>
      </c>
      <c r="AW60" s="110">
        <f t="shared" si="107"/>
        <v>43278.172203842762</v>
      </c>
      <c r="AY60" s="127" t="s">
        <v>75</v>
      </c>
      <c r="AZ60" s="72">
        <f t="shared" ref="AZ60:BB60" si="108">(AZ43*AZ44/1000)*AZ40</f>
        <v>53876.252758733601</v>
      </c>
      <c r="BA60" s="72">
        <f t="shared" si="108"/>
        <v>45349.56148326445</v>
      </c>
      <c r="BB60" s="110">
        <f t="shared" si="108"/>
        <v>43278.172203842762</v>
      </c>
      <c r="BD60" s="138" t="s">
        <v>75</v>
      </c>
      <c r="BE60" s="72">
        <f t="shared" ref="BE60:BG60" si="109">(BE43*BE44/1000)*BE40</f>
        <v>53876.252758733601</v>
      </c>
      <c r="BF60" s="72">
        <f t="shared" si="109"/>
        <v>45349.56148326445</v>
      </c>
      <c r="BG60" s="110">
        <f t="shared" si="109"/>
        <v>43278.172203842762</v>
      </c>
      <c r="BI60" s="138" t="s">
        <v>75</v>
      </c>
      <c r="BJ60" s="109">
        <f t="shared" ref="BJ60:BL60" si="110">(BJ43*BJ44/1000)*BJ40</f>
        <v>0</v>
      </c>
      <c r="BK60" s="72">
        <f t="shared" si="110"/>
        <v>0</v>
      </c>
      <c r="BL60" s="72">
        <f t="shared" si="110"/>
        <v>0</v>
      </c>
    </row>
    <row r="61" spans="2:64" x14ac:dyDescent="0.25">
      <c r="B61" s="268">
        <v>-25</v>
      </c>
      <c r="C61" s="268">
        <v>-20</v>
      </c>
      <c r="D61" s="1">
        <f t="shared" si="24"/>
        <v>-22.5</v>
      </c>
      <c r="E61" s="1">
        <f>'SAS MN Bin Data by Zone'!H28</f>
        <v>28</v>
      </c>
      <c r="F61" s="280">
        <f t="shared" si="30"/>
        <v>1.0331292420627112E-2</v>
      </c>
      <c r="G61" s="45">
        <f t="shared" si="0"/>
        <v>23091.075000000004</v>
      </c>
      <c r="H61" s="45">
        <f t="shared" si="1"/>
        <v>646550.10000000009</v>
      </c>
      <c r="I61" s="1">
        <f t="shared" si="2"/>
        <v>-22.5</v>
      </c>
      <c r="J61" s="1">
        <f>'SAS MN Bin Data by Zone'!M28</f>
        <v>20</v>
      </c>
      <c r="K61" s="280">
        <f t="shared" si="31"/>
        <v>8.0292424121441199E-3</v>
      </c>
      <c r="L61" s="45">
        <f t="shared" si="89"/>
        <v>23091.075000000004</v>
      </c>
      <c r="M61" s="45">
        <f t="shared" si="90"/>
        <v>461821.50000000012</v>
      </c>
      <c r="N61" s="1">
        <f t="shared" si="25"/>
        <v>-22.5</v>
      </c>
      <c r="O61" s="1">
        <f>'SAS MN Bin Data by Zone'!R28</f>
        <v>2</v>
      </c>
      <c r="P61" s="280">
        <f t="shared" si="32"/>
        <v>9.262742027516997E-4</v>
      </c>
      <c r="Q61" s="45">
        <f t="shared" si="91"/>
        <v>23091.075000000004</v>
      </c>
      <c r="R61" s="45">
        <f t="shared" si="92"/>
        <v>46182.150000000009</v>
      </c>
      <c r="S61" s="76"/>
      <c r="U61" s="127" t="s">
        <v>76</v>
      </c>
      <c r="V61" s="63">
        <f>V60+V59</f>
        <v>80053.373085329571</v>
      </c>
      <c r="W61" s="63">
        <f t="shared" ref="W61:X61" si="111">W60+W59</f>
        <v>71452.057647548761</v>
      </c>
      <c r="X61" s="112">
        <f t="shared" si="111"/>
        <v>73319.592914114095</v>
      </c>
      <c r="Z61" s="127" t="s">
        <v>76</v>
      </c>
      <c r="AA61" s="63">
        <f t="shared" ref="AA61:AC61" si="112">AA60+AA59</f>
        <v>80053.373085329571</v>
      </c>
      <c r="AB61" s="63">
        <f t="shared" si="112"/>
        <v>71452.057647548761</v>
      </c>
      <c r="AC61" s="112">
        <f t="shared" si="112"/>
        <v>73319.592914114095</v>
      </c>
      <c r="AD61" s="149"/>
      <c r="AE61" s="127" t="s">
        <v>76</v>
      </c>
      <c r="AF61" s="63">
        <f t="shared" ref="AF61:AH61" si="113">AF60+AF59</f>
        <v>80053.373085329571</v>
      </c>
      <c r="AG61" s="63">
        <f t="shared" si="113"/>
        <v>71452.057647548761</v>
      </c>
      <c r="AH61" s="112">
        <f t="shared" si="113"/>
        <v>73319.592914114095</v>
      </c>
      <c r="AJ61" s="127" t="s">
        <v>76</v>
      </c>
      <c r="AK61" s="63">
        <f t="shared" ref="AK61:AM61" si="114">AK60+AK59</f>
        <v>80053.373085329571</v>
      </c>
      <c r="AL61" s="63">
        <f t="shared" si="114"/>
        <v>71452.057647548761</v>
      </c>
      <c r="AM61" s="112">
        <f t="shared" si="114"/>
        <v>73319.592914114095</v>
      </c>
      <c r="AO61" s="127" t="s">
        <v>76</v>
      </c>
      <c r="AP61" s="63">
        <f t="shared" ref="AP61:AR61" si="115">AP60+AP59</f>
        <v>80053.373085329571</v>
      </c>
      <c r="AQ61" s="63">
        <f t="shared" si="115"/>
        <v>71452.057647548761</v>
      </c>
      <c r="AR61" s="112">
        <f t="shared" si="115"/>
        <v>73319.592914114095</v>
      </c>
      <c r="AT61" s="127" t="s">
        <v>76</v>
      </c>
      <c r="AU61" s="63">
        <f t="shared" ref="AU61:AW61" si="116">AU60+AU59</f>
        <v>80053.373085329571</v>
      </c>
      <c r="AV61" s="63">
        <f t="shared" si="116"/>
        <v>71452.057647548761</v>
      </c>
      <c r="AW61" s="112">
        <f t="shared" si="116"/>
        <v>73319.592914114095</v>
      </c>
      <c r="AY61" s="127" t="s">
        <v>76</v>
      </c>
      <c r="AZ61" s="63">
        <f t="shared" ref="AZ61:BB61" si="117">AZ60+AZ59</f>
        <v>80053.373085329571</v>
      </c>
      <c r="BA61" s="63">
        <f t="shared" si="117"/>
        <v>71452.057647548761</v>
      </c>
      <c r="BB61" s="112">
        <f t="shared" si="117"/>
        <v>73319.592914114095</v>
      </c>
      <c r="BD61" s="138" t="s">
        <v>76</v>
      </c>
      <c r="BE61" s="63">
        <f t="shared" ref="BE61:BG61" si="118">BE60+BE59</f>
        <v>80053.373085329571</v>
      </c>
      <c r="BF61" s="63">
        <f t="shared" si="118"/>
        <v>71452.057647548761</v>
      </c>
      <c r="BG61" s="112">
        <f t="shared" si="118"/>
        <v>73319.592914114095</v>
      </c>
      <c r="BI61" s="138" t="s">
        <v>76</v>
      </c>
      <c r="BJ61" s="111">
        <f>BJ60+BJ59</f>
        <v>79858.873310185241</v>
      </c>
      <c r="BK61" s="63">
        <f t="shared" ref="BK61:BL61" si="119">BK60+BK59</f>
        <v>71501.947898145125</v>
      </c>
      <c r="BL61" s="63">
        <f t="shared" si="119"/>
        <v>73466.311359455809</v>
      </c>
    </row>
    <row r="62" spans="2:64" x14ac:dyDescent="0.25">
      <c r="B62" s="268">
        <v>-30</v>
      </c>
      <c r="C62" s="268">
        <v>-25</v>
      </c>
      <c r="D62" s="1">
        <f t="shared" si="24"/>
        <v>-27.5</v>
      </c>
      <c r="E62" s="1">
        <f>'SAS MN Bin Data by Zone'!H29</f>
        <v>10</v>
      </c>
      <c r="F62" s="280">
        <f t="shared" si="30"/>
        <v>3.8936007346878029E-3</v>
      </c>
      <c r="G62" s="45">
        <f t="shared" si="0"/>
        <v>24366.825000000004</v>
      </c>
      <c r="H62" s="45">
        <f t="shared" si="1"/>
        <v>243668.25000000006</v>
      </c>
      <c r="I62" s="1">
        <f t="shared" si="2"/>
        <v>-27.5</v>
      </c>
      <c r="J62" s="1">
        <f>'SAS MN Bin Data by Zone'!M29</f>
        <v>8</v>
      </c>
      <c r="K62" s="280">
        <f t="shared" si="31"/>
        <v>3.389138786120501E-3</v>
      </c>
      <c r="L62" s="45">
        <f t="shared" si="89"/>
        <v>24366.825000000004</v>
      </c>
      <c r="M62" s="45">
        <f t="shared" si="90"/>
        <v>194934.60000000003</v>
      </c>
      <c r="N62" s="1">
        <f t="shared" si="25"/>
        <v>-27.5</v>
      </c>
      <c r="O62" s="1">
        <f>'SAS MN Bin Data by Zone'!R29</f>
        <v>1</v>
      </c>
      <c r="P62" s="280">
        <f t="shared" si="32"/>
        <v>4.887247865347366E-4</v>
      </c>
      <c r="Q62" s="45">
        <f t="shared" si="91"/>
        <v>24366.825000000004</v>
      </c>
      <c r="R62" s="45">
        <f t="shared" si="92"/>
        <v>24366.825000000004</v>
      </c>
      <c r="S62" s="76"/>
      <c r="T62" s="192"/>
      <c r="U62" s="26" t="s">
        <v>77</v>
      </c>
      <c r="V62" s="64">
        <f t="shared" ref="V62:X62" si="120">V61/V47</f>
        <v>0.99881663038866453</v>
      </c>
      <c r="W62" s="64">
        <f t="shared" si="120"/>
        <v>1.0004016120739285</v>
      </c>
      <c r="X62" s="114">
        <f t="shared" si="120"/>
        <v>1.0013862706807259</v>
      </c>
      <c r="Z62" s="26" t="s">
        <v>77</v>
      </c>
      <c r="AA62" s="64">
        <f t="shared" ref="AA62:AC62" si="121">AA61/AA47</f>
        <v>0.99881663038866453</v>
      </c>
      <c r="AB62" s="64">
        <f t="shared" si="121"/>
        <v>1.0004016120739285</v>
      </c>
      <c r="AC62" s="114">
        <f t="shared" si="121"/>
        <v>1.0013862706807259</v>
      </c>
      <c r="AD62" s="51"/>
      <c r="AE62" s="26" t="s">
        <v>77</v>
      </c>
      <c r="AF62" s="64">
        <f t="shared" ref="AF62:AH62" si="122">AF61/AF47</f>
        <v>0.99881663038866453</v>
      </c>
      <c r="AG62" s="64">
        <f t="shared" si="122"/>
        <v>1.0004016120739285</v>
      </c>
      <c r="AH62" s="114">
        <f t="shared" si="122"/>
        <v>1.0013862706807259</v>
      </c>
      <c r="AJ62" s="26" t="s">
        <v>77</v>
      </c>
      <c r="AK62" s="64">
        <f t="shared" ref="AK62:AM62" si="123">AK61/AK47</f>
        <v>0.99881663038866453</v>
      </c>
      <c r="AL62" s="64">
        <f t="shared" si="123"/>
        <v>1.0004016120739285</v>
      </c>
      <c r="AM62" s="114">
        <f t="shared" si="123"/>
        <v>1.0013862706807259</v>
      </c>
      <c r="AO62" s="26" t="s">
        <v>77</v>
      </c>
      <c r="AP62" s="64">
        <f t="shared" ref="AP62:AR62" si="124">AP61/AP47</f>
        <v>0.99881663038866453</v>
      </c>
      <c r="AQ62" s="64">
        <f t="shared" si="124"/>
        <v>1.0004016120739285</v>
      </c>
      <c r="AR62" s="114">
        <f t="shared" si="124"/>
        <v>1.0013862706807259</v>
      </c>
      <c r="AT62" s="26" t="s">
        <v>77</v>
      </c>
      <c r="AU62" s="64">
        <f t="shared" ref="AU62:AW62" si="125">AU61/AU47</f>
        <v>0.99881663038866453</v>
      </c>
      <c r="AV62" s="64">
        <f t="shared" si="125"/>
        <v>1.0004016120739285</v>
      </c>
      <c r="AW62" s="114">
        <f t="shared" si="125"/>
        <v>1.0013862706807259</v>
      </c>
      <c r="AY62" s="26" t="s">
        <v>77</v>
      </c>
      <c r="AZ62" s="64">
        <f t="shared" ref="AZ62:BB62" si="126">AZ61/AZ47</f>
        <v>0.99881663038866453</v>
      </c>
      <c r="BA62" s="64">
        <f t="shared" si="126"/>
        <v>1.0004016120739285</v>
      </c>
      <c r="BB62" s="114">
        <f t="shared" si="126"/>
        <v>1.0013862706807259</v>
      </c>
      <c r="BD62" s="140" t="s">
        <v>77</v>
      </c>
      <c r="BE62" s="64">
        <f t="shared" ref="BE62:BG62" si="127">BE61/BE47</f>
        <v>0.99881663038866453</v>
      </c>
      <c r="BF62" s="64">
        <f t="shared" si="127"/>
        <v>1.0004016120739285</v>
      </c>
      <c r="BG62" s="114">
        <f t="shared" si="127"/>
        <v>1.0013862706807259</v>
      </c>
      <c r="BI62" s="138" t="s">
        <v>77</v>
      </c>
      <c r="BJ62" s="113">
        <f t="shared" ref="BJ62:BL62" si="128">BJ61/BJ47</f>
        <v>1</v>
      </c>
      <c r="BK62" s="64">
        <f t="shared" si="128"/>
        <v>1</v>
      </c>
      <c r="BL62" s="64">
        <f t="shared" si="128"/>
        <v>1</v>
      </c>
    </row>
    <row r="63" spans="2:64" x14ac:dyDescent="0.25">
      <c r="B63" s="268">
        <v>-35</v>
      </c>
      <c r="C63" s="268">
        <v>-30</v>
      </c>
      <c r="D63" s="1">
        <f t="shared" si="24"/>
        <v>-32.5</v>
      </c>
      <c r="E63" s="1">
        <f>'SAS MN Bin Data by Zone'!H30</f>
        <v>3</v>
      </c>
      <c r="F63" s="280">
        <f t="shared" si="30"/>
        <v>1.2292362528883482E-3</v>
      </c>
      <c r="G63" s="45">
        <f t="shared" si="0"/>
        <v>25642.575000000004</v>
      </c>
      <c r="H63" s="45">
        <f t="shared" si="1"/>
        <v>76927.725000000006</v>
      </c>
      <c r="I63" s="1">
        <f t="shared" si="2"/>
        <v>-32.5</v>
      </c>
      <c r="J63" s="1">
        <f>'SAS MN Bin Data by Zone'!M30</f>
        <v>2</v>
      </c>
      <c r="K63" s="280">
        <f t="shared" si="31"/>
        <v>8.9164515184583857E-4</v>
      </c>
      <c r="L63" s="45">
        <f t="shared" si="89"/>
        <v>25642.575000000004</v>
      </c>
      <c r="M63" s="45">
        <f t="shared" si="90"/>
        <v>51285.150000000009</v>
      </c>
      <c r="N63" s="1">
        <f t="shared" si="25"/>
        <v>-32.5</v>
      </c>
      <c r="O63" s="1">
        <f>'SAS MN Bin Data by Zone'!R30</f>
        <v>0</v>
      </c>
      <c r="P63" s="280">
        <f t="shared" si="32"/>
        <v>0</v>
      </c>
      <c r="Q63" s="45">
        <f t="shared" si="91"/>
        <v>25642.575000000004</v>
      </c>
      <c r="R63" s="45">
        <f t="shared" si="92"/>
        <v>0</v>
      </c>
      <c r="S63" s="51"/>
      <c r="U63" s="127" t="s">
        <v>61</v>
      </c>
      <c r="V63" s="65">
        <f>V43/V45*V44*(V40)/100000</f>
        <v>673.4531594841701</v>
      </c>
      <c r="W63" s="65">
        <f>W43/W45*W44*(W40)/100000</f>
        <v>566.86951854080564</v>
      </c>
      <c r="X63" s="115">
        <f>X43/X45*X44*(X40)/100000</f>
        <v>540.9771525480345</v>
      </c>
      <c r="Z63" s="127" t="s">
        <v>61</v>
      </c>
      <c r="AA63" s="65">
        <f>AA43/AA45*AA44*(AA40)/100000</f>
        <v>641.3839614134954</v>
      </c>
      <c r="AB63" s="65">
        <f>AB43/AB45*AB44*(AB40)/100000</f>
        <v>539.87573194362449</v>
      </c>
      <c r="AC63" s="115">
        <f>AC43/AC45*AC44*(AC40)/100000</f>
        <v>515.21633576003296</v>
      </c>
      <c r="AD63" s="152"/>
      <c r="AE63" s="127" t="s">
        <v>61</v>
      </c>
      <c r="AF63" s="65">
        <f>AF43/AF45*AF44*(AF40)/100000</f>
        <v>673.4531594841701</v>
      </c>
      <c r="AG63" s="65">
        <f>AG43/AG45*AG44*(AG40)/100000</f>
        <v>566.86951854080564</v>
      </c>
      <c r="AH63" s="115">
        <f>AH43/AH45*AH44*(AH40)/100000</f>
        <v>540.9771525480345</v>
      </c>
      <c r="AJ63" s="127" t="s">
        <v>61</v>
      </c>
      <c r="AK63" s="65">
        <f>AK43/AK45*AK44*(AK40)/100000</f>
        <v>641.3839614134954</v>
      </c>
      <c r="AL63" s="65">
        <f>AL43/AL45*AL44*(AL40)/100000</f>
        <v>539.87573194362449</v>
      </c>
      <c r="AM63" s="115">
        <f>AM43/AM45*AM44*(AM40)/100000</f>
        <v>515.21633576003296</v>
      </c>
      <c r="AO63" s="127" t="s">
        <v>61</v>
      </c>
      <c r="AP63" s="65">
        <f>AP43/AP45*AP44*(AP40)/100000</f>
        <v>673.4531594841701</v>
      </c>
      <c r="AQ63" s="65">
        <f>AQ43/AQ45*AQ44*(AQ40)/100000</f>
        <v>566.86951854080564</v>
      </c>
      <c r="AR63" s="115">
        <f>AR43/AR45*AR44*(AR40)/100000</f>
        <v>540.9771525480345</v>
      </c>
      <c r="AT63" s="127" t="s">
        <v>61</v>
      </c>
      <c r="AU63" s="65">
        <f>AU43/AU45*AU44*(AU40)/100000</f>
        <v>641.3839614134954</v>
      </c>
      <c r="AV63" s="65">
        <f>AV43/AV45*AV44*(AV40)/100000</f>
        <v>539.87573194362449</v>
      </c>
      <c r="AW63" s="115">
        <f>AW43/AW45*AW44*(AW40)/100000</f>
        <v>515.21633576003296</v>
      </c>
      <c r="AY63" s="127" t="s">
        <v>61</v>
      </c>
      <c r="AZ63" s="65">
        <f>AZ43/AZ45*AZ44*(AZ40)/100000</f>
        <v>718.35003678311466</v>
      </c>
      <c r="BA63" s="65">
        <f>BA43/BA45*BA44*(BA40)/100000</f>
        <v>604.66081977685928</v>
      </c>
      <c r="BB63" s="115">
        <f>BB43/BB45*BB44*(BB40)/100000</f>
        <v>577.0422960512368</v>
      </c>
      <c r="BD63" s="138" t="s">
        <v>185</v>
      </c>
      <c r="BE63" s="65">
        <f t="shared" ref="BE63:BG63" si="129">(BE47/3.412)*BE40</f>
        <v>15790.226482630011</v>
      </c>
      <c r="BF63" s="65">
        <f t="shared" si="129"/>
        <v>13291.196214321351</v>
      </c>
      <c r="BG63" s="251">
        <f t="shared" si="129"/>
        <v>12684.106742040669</v>
      </c>
      <c r="BI63" s="127" t="s">
        <v>228</v>
      </c>
      <c r="BJ63" s="65">
        <f>BJ43/12000*BJ44/3.412*12/BJ49*BJ40</f>
        <v>0</v>
      </c>
      <c r="BK63" s="65">
        <f t="shared" ref="BK63:BL63" si="130">BK43/12000*BK44/3.412*12/BK49*BK40</f>
        <v>0</v>
      </c>
      <c r="BL63" s="65">
        <f t="shared" si="130"/>
        <v>0</v>
      </c>
    </row>
    <row r="64" spans="2:64" x14ac:dyDescent="0.25">
      <c r="B64" s="268">
        <v>-40</v>
      </c>
      <c r="C64" s="268">
        <v>-35</v>
      </c>
      <c r="D64" s="1">
        <f t="shared" si="24"/>
        <v>-37.5</v>
      </c>
      <c r="E64" s="1">
        <f>'SAS MN Bin Data by Zone'!H31</f>
        <v>0</v>
      </c>
      <c r="F64" s="280">
        <f t="shared" si="30"/>
        <v>0</v>
      </c>
      <c r="G64" s="45">
        <f t="shared" si="0"/>
        <v>26918.325000000004</v>
      </c>
      <c r="H64" s="45">
        <f t="shared" si="1"/>
        <v>0</v>
      </c>
      <c r="I64" s="1">
        <f t="shared" si="2"/>
        <v>-37.5</v>
      </c>
      <c r="J64" s="1">
        <f>'SAS MN Bin Data by Zone'!M31</f>
        <v>1</v>
      </c>
      <c r="K64" s="280">
        <f t="shared" si="31"/>
        <v>4.68002803580776E-4</v>
      </c>
      <c r="L64" s="45">
        <f t="shared" si="89"/>
        <v>26918.325000000004</v>
      </c>
      <c r="M64" s="45">
        <f t="shared" si="90"/>
        <v>26918.325000000004</v>
      </c>
      <c r="N64" s="1">
        <f t="shared" si="25"/>
        <v>-37.5</v>
      </c>
      <c r="O64" s="1">
        <f>'SAS MN Bin Data by Zone'!R31</f>
        <v>0</v>
      </c>
      <c r="P64" s="280">
        <f t="shared" si="32"/>
        <v>0</v>
      </c>
      <c r="Q64" s="45">
        <f t="shared" si="91"/>
        <v>26918.325000000004</v>
      </c>
      <c r="R64" s="45">
        <f t="shared" si="92"/>
        <v>0</v>
      </c>
      <c r="S64" s="51"/>
      <c r="T64" s="192"/>
      <c r="U64" s="127" t="s">
        <v>62</v>
      </c>
      <c r="V64" s="65">
        <f>(V32/12000*V33*12/V36*V41)+((V63*0.0314)*29.307)</f>
        <v>3534.785207763679</v>
      </c>
      <c r="W64" s="65">
        <f>(W32/12000*W33*12/W36*W41)+((W63*0.0314)*29.307)</f>
        <v>3464.4930906897152</v>
      </c>
      <c r="X64" s="65">
        <f>(X32/12000*X33*12/X36*X41)+((X63*0.0314)*29.307)</f>
        <v>3900.0917271352891</v>
      </c>
      <c r="Z64" s="127" t="s">
        <v>62</v>
      </c>
      <c r="AA64" s="65">
        <f>AA32/12000*AA33*12/AA36*AA41</f>
        <v>2915.9801262279293</v>
      </c>
      <c r="AB64" s="65">
        <f>AB32/12000*AB33*12/AB36*AB41</f>
        <v>2942.837198321628</v>
      </c>
      <c r="AC64" s="65">
        <f>AC32/12000*AC33*12/AC36*AC41</f>
        <v>3402.2630204699167</v>
      </c>
      <c r="AD64" s="152"/>
      <c r="AE64" s="127" t="s">
        <v>62</v>
      </c>
      <c r="AF64" s="65">
        <f>(AF32/12000*AF33*12/AF36*AF41)+((AF63*0.0314)*29.307)</f>
        <v>3535.7185270210102</v>
      </c>
      <c r="AG64" s="65">
        <f>(AG32/12000*AG33*12/AG36*AG41)+((AG63*0.0314)*29.307)</f>
        <v>3464.4930906897152</v>
      </c>
      <c r="AH64" s="65">
        <f>(AH32/12000*AH33*12/AH36*AH41)+((AH63*0.0314)*29.307)</f>
        <v>3900.0917271352891</v>
      </c>
      <c r="AJ64" s="127" t="s">
        <v>62</v>
      </c>
      <c r="AK64" s="65">
        <f>AK32/12000*AK33*12/AK36*AK41</f>
        <v>2915.9801262279293</v>
      </c>
      <c r="AL64" s="65">
        <f>AL32/12000*AL33*12/AL36*AL41</f>
        <v>2942.837198321628</v>
      </c>
      <c r="AM64" s="65">
        <f>AM32/12000*AM33*12/AM36*AM41</f>
        <v>3402.2630204699167</v>
      </c>
      <c r="AO64" s="127" t="s">
        <v>62</v>
      </c>
      <c r="AP64" s="65">
        <f>(AP32/12000*AP33*12/AP36*AP41)+((AP63*0.0314)*29.3)</f>
        <v>3535.5705020165556</v>
      </c>
      <c r="AQ64" s="65">
        <f>(AQ32/12000*AQ33*12/AQ36*AQ41)+((AQ63*0.0314)*29.3)</f>
        <v>3464.3684927695399</v>
      </c>
      <c r="AR64" s="65">
        <f>(AR32/12000*AR33*12/AR36*AR41)+((AR63*0.0314)*29.3)</f>
        <v>3899.9728203571594</v>
      </c>
      <c r="AT64" s="127" t="s">
        <v>62</v>
      </c>
      <c r="AU64" s="65">
        <f>AU32/12000*AU33*12/AU36*AU41</f>
        <v>2915.9801262279293</v>
      </c>
      <c r="AV64" s="65">
        <f>AV32/12000*AV33*12/AV36*AV41</f>
        <v>2942.837198321628</v>
      </c>
      <c r="AW64" s="65">
        <f>AW32/12000*AW33*12/AW36*AW41</f>
        <v>3402.2630204699167</v>
      </c>
      <c r="AY64" s="127" t="s">
        <v>62</v>
      </c>
      <c r="AZ64" s="65">
        <f>AZ32/12000*AZ33*12/AZ36*AZ41</f>
        <v>2915.9801262279293</v>
      </c>
      <c r="BA64" s="65">
        <f>BA32/12000*BA33*12/BA36*BA41</f>
        <v>2942.837198321628</v>
      </c>
      <c r="BB64" s="65">
        <f>BB32/12000*BB33*12/BB36*BB41</f>
        <v>3402.2630204699167</v>
      </c>
      <c r="BD64" s="138" t="s">
        <v>184</v>
      </c>
      <c r="BE64" s="65">
        <f>BE32/12000*BE33*12/BE36*BE41</f>
        <v>2915.9801262279293</v>
      </c>
      <c r="BF64" s="65">
        <f>BF32/12000*BF33*12/BF36*BF41</f>
        <v>2942.837198321628</v>
      </c>
      <c r="BG64" s="254">
        <f>BG32/12000*BG33*12/BG36*BG41</f>
        <v>3402.2630204699167</v>
      </c>
      <c r="BH64" s="192"/>
      <c r="BI64" s="127" t="s">
        <v>217</v>
      </c>
      <c r="BJ64" s="65">
        <f>BJ32/12000*BJ33*12/BJ36</f>
        <v>8895.8175907095938</v>
      </c>
      <c r="BK64" s="65">
        <f t="shared" ref="BK64:BL64" si="131">BK32/12000*BK33*12/BK36</f>
        <v>8061.244055081188</v>
      </c>
      <c r="BL64" s="65">
        <f t="shared" si="131"/>
        <v>8320.2361432642065</v>
      </c>
    </row>
    <row r="65" spans="2:64" x14ac:dyDescent="0.25">
      <c r="B65" s="268">
        <v>-45</v>
      </c>
      <c r="C65" s="268">
        <v>-40</v>
      </c>
      <c r="D65" s="1">
        <f t="shared" si="24"/>
        <v>-42.5</v>
      </c>
      <c r="E65" s="1">
        <f>'SAS MN Bin Data by Zone'!H32</f>
        <v>0</v>
      </c>
      <c r="F65" s="280">
        <f t="shared" si="30"/>
        <v>0</v>
      </c>
      <c r="G65" s="45">
        <f t="shared" si="0"/>
        <v>28194.075000000004</v>
      </c>
      <c r="H65" s="45">
        <f t="shared" si="1"/>
        <v>0</v>
      </c>
      <c r="I65" s="1">
        <f t="shared" si="2"/>
        <v>-42.5</v>
      </c>
      <c r="J65" s="1">
        <f>'SAS MN Bin Data by Zone'!M32</f>
        <v>0</v>
      </c>
      <c r="K65" s="280">
        <f t="shared" si="31"/>
        <v>0</v>
      </c>
      <c r="L65" s="45">
        <f t="shared" si="89"/>
        <v>28194.075000000004</v>
      </c>
      <c r="M65" s="45">
        <f t="shared" si="90"/>
        <v>0</v>
      </c>
      <c r="N65" s="1">
        <f t="shared" si="25"/>
        <v>-42.5</v>
      </c>
      <c r="O65" s="1">
        <f>'SAS MN Bin Data by Zone'!R32</f>
        <v>0</v>
      </c>
      <c r="P65" s="280">
        <f t="shared" si="32"/>
        <v>0</v>
      </c>
      <c r="Q65" s="45">
        <f t="shared" si="91"/>
        <v>28194.075000000004</v>
      </c>
      <c r="R65" s="45">
        <f t="shared" si="92"/>
        <v>0</v>
      </c>
      <c r="S65" s="51"/>
      <c r="T65" s="192"/>
      <c r="U65" s="127" t="s">
        <v>65</v>
      </c>
      <c r="V65" s="66">
        <f t="shared" ref="V65:X65" si="132">V50*V63</f>
        <v>720.59488064806203</v>
      </c>
      <c r="W65" s="66">
        <f t="shared" si="132"/>
        <v>606.55038483866213</v>
      </c>
      <c r="X65" s="117">
        <f t="shared" si="132"/>
        <v>578.84555322639699</v>
      </c>
      <c r="Z65" s="127" t="s">
        <v>65</v>
      </c>
      <c r="AA65" s="66">
        <f t="shared" ref="AA65:AC65" si="133">AA50*AA63</f>
        <v>686.28083871244007</v>
      </c>
      <c r="AB65" s="66">
        <f t="shared" si="133"/>
        <v>577.66703317967824</v>
      </c>
      <c r="AC65" s="117">
        <f t="shared" si="133"/>
        <v>551.28147926323527</v>
      </c>
      <c r="AD65" s="154"/>
      <c r="AE65" s="127" t="s">
        <v>65</v>
      </c>
      <c r="AF65" s="66">
        <f t="shared" ref="AF65:AH65" si="134">AF50*AF63</f>
        <v>1623.0221143568497</v>
      </c>
      <c r="AG65" s="66">
        <f t="shared" si="134"/>
        <v>1366.1555396833414</v>
      </c>
      <c r="AH65" s="117">
        <f t="shared" si="134"/>
        <v>1303.754937640763</v>
      </c>
      <c r="AJ65" s="127" t="s">
        <v>65</v>
      </c>
      <c r="AK65" s="66">
        <f t="shared" ref="AK65:AM65" si="135">AK50*AK63</f>
        <v>1545.7353470065236</v>
      </c>
      <c r="AL65" s="66">
        <f t="shared" si="135"/>
        <v>1301.1005139841347</v>
      </c>
      <c r="AM65" s="117">
        <f t="shared" si="135"/>
        <v>1241.6713691816792</v>
      </c>
      <c r="AO65" s="127" t="s">
        <v>65</v>
      </c>
      <c r="AP65" s="66">
        <f t="shared" ref="AP65:AR65" si="136">AP50*AP63</f>
        <v>1097.7286499591974</v>
      </c>
      <c r="AQ65" s="66">
        <f t="shared" si="136"/>
        <v>923.9973152215133</v>
      </c>
      <c r="AR65" s="117">
        <f t="shared" si="136"/>
        <v>881.79275865329635</v>
      </c>
      <c r="AT65" s="127" t="s">
        <v>65</v>
      </c>
      <c r="AU65" s="66">
        <f t="shared" ref="AU65:AW65" si="137">AU50*AU63</f>
        <v>1045.4558571039977</v>
      </c>
      <c r="AV65" s="66">
        <f t="shared" si="137"/>
        <v>879.99744306810794</v>
      </c>
      <c r="AW65" s="117">
        <f t="shared" si="137"/>
        <v>839.80262728885384</v>
      </c>
      <c r="AY65" s="127" t="s">
        <v>65</v>
      </c>
      <c r="AZ65" s="66">
        <f t="shared" ref="AZ65:BB65" si="138">AZ50*AZ63</f>
        <v>1091.8920559103342</v>
      </c>
      <c r="BA65" s="66">
        <f t="shared" si="138"/>
        <v>919.08444606082617</v>
      </c>
      <c r="BB65" s="117">
        <f t="shared" si="138"/>
        <v>877.10428999787996</v>
      </c>
      <c r="BD65" s="138" t="s">
        <v>194</v>
      </c>
      <c r="BE65" s="66">
        <f t="shared" ref="BE65:BG65" si="139">BE50*BE63</f>
        <v>2052.7294427419015</v>
      </c>
      <c r="BF65" s="66">
        <f t="shared" si="139"/>
        <v>1727.8555078617758</v>
      </c>
      <c r="BG65" s="117">
        <f t="shared" si="139"/>
        <v>1648.9338764652871</v>
      </c>
      <c r="BI65" s="138" t="s">
        <v>218</v>
      </c>
      <c r="BJ65" s="116">
        <f t="shared" ref="BJ65:BL65" si="140">BJ50*BJ63</f>
        <v>0</v>
      </c>
      <c r="BK65" s="66">
        <f t="shared" si="140"/>
        <v>0</v>
      </c>
      <c r="BL65" s="66">
        <f t="shared" si="140"/>
        <v>0</v>
      </c>
    </row>
    <row r="66" spans="2:64" x14ac:dyDescent="0.25">
      <c r="B66" s="268">
        <v>-50</v>
      </c>
      <c r="C66" s="268">
        <v>-45</v>
      </c>
      <c r="D66" s="1">
        <f t="shared" si="24"/>
        <v>-47.5</v>
      </c>
      <c r="E66" s="1">
        <f>'SAS MN Bin Data by Zone'!H33</f>
        <v>0</v>
      </c>
      <c r="F66" s="280">
        <f t="shared" si="30"/>
        <v>0</v>
      </c>
      <c r="G66" s="45">
        <f t="shared" si="0"/>
        <v>29469.825000000004</v>
      </c>
      <c r="H66" s="45">
        <f t="shared" si="1"/>
        <v>0</v>
      </c>
      <c r="I66" s="1">
        <f t="shared" si="2"/>
        <v>-47.5</v>
      </c>
      <c r="J66" s="1">
        <f>'SAS MN Bin Data by Zone'!M33</f>
        <v>0</v>
      </c>
      <c r="K66" s="280">
        <f t="shared" si="31"/>
        <v>0</v>
      </c>
      <c r="L66" s="45">
        <f t="shared" si="89"/>
        <v>29469.825000000004</v>
      </c>
      <c r="M66" s="45">
        <f t="shared" si="90"/>
        <v>0</v>
      </c>
      <c r="N66" s="1">
        <f t="shared" si="25"/>
        <v>-47.5</v>
      </c>
      <c r="O66" s="1">
        <f>'SAS MN Bin Data by Zone'!R33</f>
        <v>0</v>
      </c>
      <c r="P66" s="280">
        <f t="shared" si="32"/>
        <v>0</v>
      </c>
      <c r="Q66" s="45">
        <f t="shared" si="91"/>
        <v>29469.825000000004</v>
      </c>
      <c r="R66" s="45">
        <f t="shared" si="92"/>
        <v>0</v>
      </c>
      <c r="S66" s="51"/>
      <c r="U66" s="127" t="s">
        <v>66</v>
      </c>
      <c r="V66" s="66">
        <f>V64*V51</f>
        <v>459.52207700927829</v>
      </c>
      <c r="W66" s="66">
        <f t="shared" ref="W66:X66" si="141">W64*W51</f>
        <v>450.38410178966302</v>
      </c>
      <c r="X66" s="117">
        <f t="shared" si="141"/>
        <v>507.01192452758761</v>
      </c>
      <c r="Z66" s="127" t="s">
        <v>66</v>
      </c>
      <c r="AA66" s="66">
        <f t="shared" ref="AA66:AC66" si="142">AA64*AA51</f>
        <v>379.07741640963081</v>
      </c>
      <c r="AB66" s="66">
        <f t="shared" si="142"/>
        <v>382.56883578181163</v>
      </c>
      <c r="AC66" s="117">
        <f t="shared" si="142"/>
        <v>442.2941926610892</v>
      </c>
      <c r="AD66" s="154"/>
      <c r="AE66" s="127" t="s">
        <v>66</v>
      </c>
      <c r="AF66" s="66">
        <f t="shared" ref="AF66:AH66" si="143">AF64*AF51</f>
        <v>459.64340851273136</v>
      </c>
      <c r="AG66" s="66">
        <f t="shared" si="143"/>
        <v>450.38410178966302</v>
      </c>
      <c r="AH66" s="117">
        <f t="shared" si="143"/>
        <v>507.01192452758761</v>
      </c>
      <c r="AJ66" s="127" t="s">
        <v>66</v>
      </c>
      <c r="AK66" s="66">
        <f t="shared" ref="AK66:AM66" si="144">AK64*AK51</f>
        <v>379.07741640963081</v>
      </c>
      <c r="AL66" s="66">
        <f t="shared" si="144"/>
        <v>382.56883578181163</v>
      </c>
      <c r="AM66" s="117">
        <f t="shared" si="144"/>
        <v>442.2941926610892</v>
      </c>
      <c r="AO66" s="127" t="s">
        <v>66</v>
      </c>
      <c r="AP66" s="66">
        <f t="shared" ref="AP66:AR66" si="145">AP64*AP51</f>
        <v>459.62416526215225</v>
      </c>
      <c r="AQ66" s="66">
        <f t="shared" si="145"/>
        <v>450.36790406004019</v>
      </c>
      <c r="AR66" s="117">
        <f t="shared" si="145"/>
        <v>506.99646664643075</v>
      </c>
      <c r="AT66" s="127" t="s">
        <v>66</v>
      </c>
      <c r="AU66" s="66">
        <f t="shared" ref="AU66:AW66" si="146">AU64*AU51</f>
        <v>379.07741640963081</v>
      </c>
      <c r="AV66" s="66">
        <f t="shared" si="146"/>
        <v>382.56883578181163</v>
      </c>
      <c r="AW66" s="117">
        <f t="shared" si="146"/>
        <v>442.2941926610892</v>
      </c>
      <c r="AY66" s="127" t="s">
        <v>66</v>
      </c>
      <c r="AZ66" s="66">
        <f t="shared" ref="AZ66:BB66" si="147">AZ64*AZ51</f>
        <v>379.07741640963081</v>
      </c>
      <c r="BA66" s="66">
        <f t="shared" si="147"/>
        <v>382.56883578181163</v>
      </c>
      <c r="BB66" s="117">
        <f t="shared" si="147"/>
        <v>442.2941926610892</v>
      </c>
      <c r="BD66" s="138" t="s">
        <v>193</v>
      </c>
      <c r="BE66" s="66">
        <f t="shared" ref="BE66:BG66" si="148">BE64*BE51</f>
        <v>379.07741640963081</v>
      </c>
      <c r="BF66" s="66">
        <f t="shared" si="148"/>
        <v>382.56883578181163</v>
      </c>
      <c r="BG66" s="117">
        <f t="shared" si="148"/>
        <v>442.2941926610892</v>
      </c>
      <c r="BH66" s="253"/>
      <c r="BI66" s="138" t="s">
        <v>219</v>
      </c>
      <c r="BJ66" s="116">
        <f t="shared" ref="BJ66:BL66" si="149">BJ64*BJ51</f>
        <v>1156.4562867922473</v>
      </c>
      <c r="BK66" s="66">
        <f t="shared" si="149"/>
        <v>1047.9617271605546</v>
      </c>
      <c r="BL66" s="66">
        <f t="shared" si="149"/>
        <v>1081.6306986243469</v>
      </c>
    </row>
    <row r="67" spans="2:64" x14ac:dyDescent="0.25">
      <c r="B67" s="17" t="s">
        <v>68</v>
      </c>
      <c r="C67" s="17"/>
      <c r="D67" s="17"/>
      <c r="E67" s="42">
        <f>SUM(E36:E66)</f>
        <v>8760</v>
      </c>
      <c r="G67" s="1"/>
      <c r="H67" s="45">
        <f>SUM(H36:H66)</f>
        <v>62581724.887500025</v>
      </c>
      <c r="I67" s="17"/>
      <c r="J67" s="42">
        <f>SUM(J36:J66)</f>
        <v>8760</v>
      </c>
      <c r="K67" s="42"/>
      <c r="L67" s="1"/>
      <c r="M67" s="45">
        <f>SUM(M36:M66)</f>
        <v>57517443.900000006</v>
      </c>
      <c r="N67" s="17"/>
      <c r="O67" s="42">
        <f>SUM(O36:O66)</f>
        <v>8760</v>
      </c>
      <c r="P67" s="42"/>
      <c r="Q67" s="1"/>
      <c r="R67" s="45">
        <f>SUM(R36:R66)</f>
        <v>49857968.475000009</v>
      </c>
      <c r="S67" s="147"/>
      <c r="U67" s="127" t="s">
        <v>67</v>
      </c>
      <c r="V67" s="66">
        <f>V66+V65</f>
        <v>1180.1169576573402</v>
      </c>
      <c r="W67" s="66">
        <f t="shared" ref="W67:X67" si="150">W66+W65</f>
        <v>1056.9344866283252</v>
      </c>
      <c r="X67" s="117">
        <f t="shared" si="150"/>
        <v>1085.8574777539845</v>
      </c>
      <c r="Z67" s="127" t="s">
        <v>67</v>
      </c>
      <c r="AA67" s="66">
        <f t="shared" ref="AA67:AC67" si="151">AA66+AA65</f>
        <v>1065.3582551220709</v>
      </c>
      <c r="AB67" s="66">
        <f t="shared" si="151"/>
        <v>960.23586896148981</v>
      </c>
      <c r="AC67" s="117">
        <f t="shared" si="151"/>
        <v>993.57567192432452</v>
      </c>
      <c r="AD67" s="154"/>
      <c r="AE67" s="127" t="s">
        <v>67</v>
      </c>
      <c r="AF67" s="66">
        <f t="shared" ref="AF67:AH67" si="152">AF66+AF65</f>
        <v>2082.6655228695809</v>
      </c>
      <c r="AG67" s="66">
        <f t="shared" si="152"/>
        <v>1816.5396414730044</v>
      </c>
      <c r="AH67" s="117">
        <f t="shared" si="152"/>
        <v>1810.7668621683506</v>
      </c>
      <c r="AJ67" s="127" t="s">
        <v>67</v>
      </c>
      <c r="AK67" s="66">
        <f t="shared" ref="AK67:AM67" si="153">AK66+AK65</f>
        <v>1924.8127634161544</v>
      </c>
      <c r="AL67" s="66">
        <f t="shared" si="153"/>
        <v>1683.6693497659464</v>
      </c>
      <c r="AM67" s="117">
        <f t="shared" si="153"/>
        <v>1683.9655618427685</v>
      </c>
      <c r="AO67" s="127" t="s">
        <v>67</v>
      </c>
      <c r="AP67" s="66">
        <f t="shared" ref="AP67:AR67" si="154">AP66+AP65</f>
        <v>1557.3528152213496</v>
      </c>
      <c r="AQ67" s="66">
        <f t="shared" si="154"/>
        <v>1374.3652192815534</v>
      </c>
      <c r="AR67" s="117">
        <f t="shared" si="154"/>
        <v>1388.7892252997271</v>
      </c>
      <c r="AT67" s="127" t="s">
        <v>67</v>
      </c>
      <c r="AU67" s="66">
        <f t="shared" ref="AU67:AW67" si="155">AU66+AU65</f>
        <v>1424.5332735136285</v>
      </c>
      <c r="AV67" s="66">
        <f t="shared" si="155"/>
        <v>1262.5662788499196</v>
      </c>
      <c r="AW67" s="117">
        <f t="shared" si="155"/>
        <v>1282.096819949943</v>
      </c>
      <c r="AY67" s="127" t="s">
        <v>67</v>
      </c>
      <c r="AZ67" s="66">
        <f t="shared" ref="AZ67:BB67" si="156">AZ66+AZ65</f>
        <v>1470.969472319965</v>
      </c>
      <c r="BA67" s="66">
        <f t="shared" si="156"/>
        <v>1301.6532818426379</v>
      </c>
      <c r="BB67" s="117">
        <f t="shared" si="156"/>
        <v>1319.3984826589692</v>
      </c>
      <c r="BD67" s="138" t="s">
        <v>67</v>
      </c>
      <c r="BE67" s="66">
        <f t="shared" ref="BE67:BG67" si="157">BE66+BE65</f>
        <v>2431.8068591515321</v>
      </c>
      <c r="BF67" s="66">
        <f t="shared" si="157"/>
        <v>2110.4243436435872</v>
      </c>
      <c r="BG67" s="117">
        <f t="shared" si="157"/>
        <v>2091.2280691263763</v>
      </c>
      <c r="BI67" s="138" t="s">
        <v>67</v>
      </c>
      <c r="BJ67" s="116">
        <f>BJ66+BJ65</f>
        <v>1156.4562867922473</v>
      </c>
      <c r="BK67" s="66">
        <f t="shared" ref="BK67:BL67" si="158">BK66+BK65</f>
        <v>1047.9617271605546</v>
      </c>
      <c r="BL67" s="66">
        <f t="shared" si="158"/>
        <v>1081.6306986243469</v>
      </c>
    </row>
    <row r="68" spans="2:64" x14ac:dyDescent="0.25">
      <c r="B68" s="1" t="s">
        <v>70</v>
      </c>
      <c r="C68" s="1"/>
      <c r="D68" s="1"/>
      <c r="E68" s="43">
        <f>SUM(E45:E66)</f>
        <v>6568.5</v>
      </c>
      <c r="G68" s="259"/>
      <c r="H68" s="1"/>
      <c r="I68" s="1"/>
      <c r="J68" s="44">
        <f>SUM(J45:J66)</f>
        <v>6212</v>
      </c>
      <c r="K68" s="44"/>
      <c r="L68" s="259"/>
      <c r="M68" s="1"/>
      <c r="N68" s="1"/>
      <c r="O68" s="44">
        <f>SUM(O45:O66)</f>
        <v>5603</v>
      </c>
      <c r="P68" s="44"/>
      <c r="Q68" s="259"/>
      <c r="R68" s="1"/>
      <c r="S68" s="76"/>
      <c r="U68" s="127" t="s">
        <v>69</v>
      </c>
      <c r="V68" s="68">
        <f>V63*$C$98</f>
        <v>3.5767097300204274</v>
      </c>
      <c r="W68" s="68">
        <f>W63*$C$98</f>
        <v>3.0106440129702188</v>
      </c>
      <c r="X68" s="119">
        <f>X63*$C$98</f>
        <v>2.873129657182611</v>
      </c>
      <c r="Z68" s="127" t="s">
        <v>69</v>
      </c>
      <c r="AA68" s="68">
        <f>AA63*$C$98</f>
        <v>3.4063902190670738</v>
      </c>
      <c r="AB68" s="68">
        <f>AB63*$C$98</f>
        <v>2.8672800123525897</v>
      </c>
      <c r="AC68" s="119">
        <f>AC63*$C$98</f>
        <v>2.7363139592215351</v>
      </c>
      <c r="AD68" s="159"/>
      <c r="AE68" s="127" t="s">
        <v>164</v>
      </c>
      <c r="AF68" s="68">
        <f>AF63*$C$99</f>
        <v>4.2501628895045975</v>
      </c>
      <c r="AG68" s="68">
        <f>AG63*$C$99</f>
        <v>3.5775135315110242</v>
      </c>
      <c r="AH68" s="119">
        <f>AH63*$C$99</f>
        <v>3.4141068097306455</v>
      </c>
      <c r="AJ68" s="127" t="s">
        <v>164</v>
      </c>
      <c r="AK68" s="68">
        <f>AK63*$C$99</f>
        <v>4.0477741804805696</v>
      </c>
      <c r="AL68" s="68">
        <f>AL63*$C$99</f>
        <v>3.4071557442962139</v>
      </c>
      <c r="AM68" s="119">
        <f>AM63*$C$99</f>
        <v>3.2515302949815679</v>
      </c>
      <c r="AO68" s="127" t="s">
        <v>174</v>
      </c>
      <c r="AP68" s="68">
        <f>AP63*$C$101</f>
        <v>5.0805306351485795</v>
      </c>
      <c r="AQ68" s="68">
        <f>AQ63*$C$101</f>
        <v>4.2764636478718376</v>
      </c>
      <c r="AR68" s="119">
        <f>AR63*$C$101</f>
        <v>4.0811316388223728</v>
      </c>
      <c r="AT68" s="127" t="s">
        <v>174</v>
      </c>
      <c r="AU68" s="68">
        <f>AU63*$C$101</f>
        <v>4.8386006049034096</v>
      </c>
      <c r="AV68" s="68">
        <f>AV63*$C$101</f>
        <v>4.0728225217827037</v>
      </c>
      <c r="AW68" s="119">
        <f>AW63*$C$101</f>
        <v>3.8867920369736888</v>
      </c>
      <c r="AY68" s="127" t="s">
        <v>179</v>
      </c>
      <c r="AZ68" s="68">
        <f>AZ63*$C$100</f>
        <v>6.8142684489246257</v>
      </c>
      <c r="BA68" s="68">
        <f>BA63*$C$100</f>
        <v>5.7358125364032873</v>
      </c>
      <c r="BB68" s="119">
        <f>BB63*$C$100</f>
        <v>5.4738232203420321</v>
      </c>
      <c r="BD68" s="138" t="s">
        <v>181</v>
      </c>
      <c r="BE68" s="68">
        <f t="shared" ref="BE68:BG69" si="159">BE63*$C$97</f>
        <v>7.0740214642182453</v>
      </c>
      <c r="BF68" s="68">
        <f t="shared" si="159"/>
        <v>5.9544559040159664</v>
      </c>
      <c r="BG68" s="119">
        <f t="shared" si="159"/>
        <v>5.68247982043422</v>
      </c>
      <c r="BI68" s="138" t="s">
        <v>220</v>
      </c>
      <c r="BJ68" s="118">
        <f t="shared" ref="BJ68:BL69" si="160">BJ63*$C$97</f>
        <v>0</v>
      </c>
      <c r="BK68" s="68">
        <f t="shared" si="160"/>
        <v>0</v>
      </c>
      <c r="BL68" s="68">
        <f t="shared" si="160"/>
        <v>0</v>
      </c>
    </row>
    <row r="69" spans="2:64" x14ac:dyDescent="0.25">
      <c r="B69" s="1" t="s">
        <v>279</v>
      </c>
      <c r="C69" s="1"/>
      <c r="D69" s="1"/>
      <c r="E69" s="43">
        <f>SUMIF($D$40:$D$66,"&lt;"&amp;$C$11,$E$40:$E$66)</f>
        <v>3050.5</v>
      </c>
      <c r="G69" s="260"/>
      <c r="H69" s="45">
        <f>SUMIF($D$36:$D$66,"&lt;"&amp;$C$11,$H$36:$H$66)</f>
        <v>42067920.037500016</v>
      </c>
      <c r="I69" s="11"/>
      <c r="J69" s="43">
        <f>SUMIF($I$40:$I$66,"&lt;"&amp;$C$11,$J$40:$J$66)</f>
        <v>2654</v>
      </c>
      <c r="K69" s="43"/>
      <c r="L69" s="260"/>
      <c r="M69" s="45">
        <f>SUMIF($I$36:$I$66,"&lt;"&amp;$C$11,$M$36:$M$66)</f>
        <v>36520129.800000004</v>
      </c>
      <c r="N69" s="11"/>
      <c r="O69" s="43">
        <f>SUMIF($N$36:$N$66,"&lt;"&amp;$C$11,$O$36:$O$66)</f>
        <v>2224</v>
      </c>
      <c r="P69" s="43"/>
      <c r="Q69" s="260"/>
      <c r="R69" s="45">
        <f>SUMIF($N$40:$N$66,"&lt;"&amp;$C$11,$R$40:$R$66)</f>
        <v>29470335.300000008</v>
      </c>
      <c r="S69" s="147"/>
      <c r="U69" s="127" t="s">
        <v>71</v>
      </c>
      <c r="V69" s="68">
        <f>V64*$C$97</f>
        <v>1.5835837730781284</v>
      </c>
      <c r="W69" s="68">
        <f>W64*$C$97</f>
        <v>1.5520929046289926</v>
      </c>
      <c r="X69" s="119">
        <f>X64*$C$97</f>
        <v>1.7472410937566096</v>
      </c>
      <c r="Z69" s="127" t="s">
        <v>71</v>
      </c>
      <c r="AA69" s="68">
        <f>AA64*$C$97</f>
        <v>1.3063590965501124</v>
      </c>
      <c r="AB69" s="68">
        <f>AB64*$C$97</f>
        <v>1.3183910648480894</v>
      </c>
      <c r="AC69" s="119">
        <f>AC64*$C$97</f>
        <v>1.5242138331705228</v>
      </c>
      <c r="AD69" s="159"/>
      <c r="AE69" s="127" t="s">
        <v>71</v>
      </c>
      <c r="AF69" s="68">
        <f>AF64*$C$97</f>
        <v>1.5840019001054126</v>
      </c>
      <c r="AG69" s="68">
        <f>AG64*$C$97</f>
        <v>1.5520929046289926</v>
      </c>
      <c r="AH69" s="119">
        <f>AH64*$C$97</f>
        <v>1.7472410937566096</v>
      </c>
      <c r="AJ69" s="127" t="s">
        <v>71</v>
      </c>
      <c r="AK69" s="68">
        <f>AK64*$C$97</f>
        <v>1.3063590965501124</v>
      </c>
      <c r="AL69" s="68">
        <f>AL64*$C$97</f>
        <v>1.3183910648480894</v>
      </c>
      <c r="AM69" s="119">
        <f>AM64*$C$97</f>
        <v>1.5242138331705228</v>
      </c>
      <c r="AO69" s="127" t="s">
        <v>71</v>
      </c>
      <c r="AP69" s="68">
        <f>AP64*$C$97</f>
        <v>1.5839355849034171</v>
      </c>
      <c r="AQ69" s="68">
        <f>AQ64*$C$97</f>
        <v>1.5520370847607541</v>
      </c>
      <c r="AR69" s="119">
        <f>AR64*$C$97</f>
        <v>1.7471878235200076</v>
      </c>
      <c r="AT69" s="127" t="s">
        <v>71</v>
      </c>
      <c r="AU69" s="68">
        <f>AU64*$C$97</f>
        <v>1.3063590965501124</v>
      </c>
      <c r="AV69" s="68">
        <f>AV64*$C$97</f>
        <v>1.3183910648480894</v>
      </c>
      <c r="AW69" s="119">
        <f>AW64*$C$97</f>
        <v>1.5242138331705228</v>
      </c>
      <c r="AY69" s="127" t="s">
        <v>71</v>
      </c>
      <c r="AZ69" s="68">
        <f>AZ64*$C$97</f>
        <v>1.3063590965501124</v>
      </c>
      <c r="BA69" s="68">
        <f>BA64*$C$97</f>
        <v>1.3183910648480894</v>
      </c>
      <c r="BB69" s="119">
        <f>BB64*$C$97</f>
        <v>1.5242138331705228</v>
      </c>
      <c r="BD69" s="138" t="s">
        <v>182</v>
      </c>
      <c r="BE69" s="68">
        <f t="shared" si="159"/>
        <v>1.3063590965501124</v>
      </c>
      <c r="BF69" s="68">
        <f t="shared" si="159"/>
        <v>1.3183910648480894</v>
      </c>
      <c r="BG69" s="119">
        <f t="shared" si="159"/>
        <v>1.5242138331705228</v>
      </c>
      <c r="BI69" s="138" t="s">
        <v>221</v>
      </c>
      <c r="BJ69" s="118">
        <f t="shared" si="160"/>
        <v>3.9853262806378984</v>
      </c>
      <c r="BK69" s="68">
        <f t="shared" si="160"/>
        <v>3.6114373366763726</v>
      </c>
      <c r="BL69" s="68">
        <f t="shared" si="160"/>
        <v>3.7274657921823651</v>
      </c>
    </row>
    <row r="70" spans="2:64" x14ac:dyDescent="0.25">
      <c r="B70" s="1" t="s">
        <v>278</v>
      </c>
      <c r="C70" s="1"/>
      <c r="D70" s="1"/>
      <c r="E70" s="40">
        <f>E69/E68</f>
        <v>0.46441348861992843</v>
      </c>
      <c r="G70" s="64"/>
      <c r="H70" s="40">
        <f>H69/H67</f>
        <v>0.67220774296527253</v>
      </c>
      <c r="I70" s="12"/>
      <c r="J70" s="40">
        <f>J69/J68</f>
        <v>0.42723760463618804</v>
      </c>
      <c r="K70" s="40"/>
      <c r="L70" s="64"/>
      <c r="M70" s="40">
        <f>M69/M67</f>
        <v>0.63494006902486844</v>
      </c>
      <c r="N70" s="12"/>
      <c r="O70" s="40">
        <f>O69/O68</f>
        <v>0.39693021595573802</v>
      </c>
      <c r="P70" s="40"/>
      <c r="Q70" s="64"/>
      <c r="R70" s="40">
        <f>R69/R67</f>
        <v>0.59108576224434706</v>
      </c>
      <c r="S70" s="51"/>
      <c r="U70" s="127" t="s">
        <v>72</v>
      </c>
      <c r="V70" s="68">
        <f t="shared" ref="V70:X70" si="161">V69+V68</f>
        <v>5.1602935030985559</v>
      </c>
      <c r="W70" s="68">
        <f t="shared" si="161"/>
        <v>4.5627369175992118</v>
      </c>
      <c r="X70" s="119">
        <f t="shared" si="161"/>
        <v>4.6203707509392204</v>
      </c>
      <c r="Z70" s="127" t="s">
        <v>72</v>
      </c>
      <c r="AA70" s="68">
        <f t="shared" ref="AA70:AC70" si="162">AA69+AA68</f>
        <v>4.7127493156171862</v>
      </c>
      <c r="AB70" s="68">
        <f t="shared" si="162"/>
        <v>4.1856710772006789</v>
      </c>
      <c r="AC70" s="119">
        <f t="shared" si="162"/>
        <v>4.2605277923920575</v>
      </c>
      <c r="AD70" s="159"/>
      <c r="AE70" s="127" t="s">
        <v>72</v>
      </c>
      <c r="AF70" s="68">
        <f t="shared" ref="AF70:AH70" si="163">AF69+AF68</f>
        <v>5.8341647896100106</v>
      </c>
      <c r="AG70" s="68">
        <f t="shared" si="163"/>
        <v>5.1296064361400173</v>
      </c>
      <c r="AH70" s="119">
        <f t="shared" si="163"/>
        <v>5.1613479034872549</v>
      </c>
      <c r="AJ70" s="127" t="s">
        <v>72</v>
      </c>
      <c r="AK70" s="68">
        <f t="shared" ref="AK70:AM70" si="164">AK69+AK68</f>
        <v>5.354133277030682</v>
      </c>
      <c r="AL70" s="68">
        <f t="shared" si="164"/>
        <v>4.7255468091443031</v>
      </c>
      <c r="AM70" s="119">
        <f t="shared" si="164"/>
        <v>4.7757441281520912</v>
      </c>
      <c r="AO70" s="127" t="s">
        <v>72</v>
      </c>
      <c r="AP70" s="68">
        <f t="shared" ref="AP70:AR70" si="165">AP69+AP68</f>
        <v>6.6644662200519971</v>
      </c>
      <c r="AQ70" s="68">
        <f t="shared" si="165"/>
        <v>5.8285007326325919</v>
      </c>
      <c r="AR70" s="119">
        <f t="shared" si="165"/>
        <v>5.82831946234238</v>
      </c>
      <c r="AT70" s="127" t="s">
        <v>72</v>
      </c>
      <c r="AU70" s="68">
        <f t="shared" ref="AU70:AW70" si="166">AU69+AU68</f>
        <v>6.144959701453522</v>
      </c>
      <c r="AV70" s="68">
        <f t="shared" si="166"/>
        <v>5.3912135866307933</v>
      </c>
      <c r="AW70" s="119">
        <f t="shared" si="166"/>
        <v>5.4110058701442121</v>
      </c>
      <c r="AY70" s="127" t="s">
        <v>72</v>
      </c>
      <c r="AZ70" s="68">
        <f t="shared" ref="AZ70:BB70" si="167">AZ69+AZ68</f>
        <v>8.1206275454747381</v>
      </c>
      <c r="BA70" s="68">
        <f t="shared" si="167"/>
        <v>7.0542036012513769</v>
      </c>
      <c r="BB70" s="119">
        <f t="shared" si="167"/>
        <v>6.9980370535125545</v>
      </c>
      <c r="BD70" s="138" t="s">
        <v>72</v>
      </c>
      <c r="BE70" s="68">
        <f t="shared" ref="BE70:BG70" si="168">BE69+BE68</f>
        <v>8.3803805607683586</v>
      </c>
      <c r="BF70" s="68">
        <f t="shared" si="168"/>
        <v>7.272846968864056</v>
      </c>
      <c r="BG70" s="119">
        <f t="shared" si="168"/>
        <v>7.2066936536047432</v>
      </c>
      <c r="BI70" s="138" t="s">
        <v>72</v>
      </c>
      <c r="BJ70" s="118">
        <f>BJ69+BJ68</f>
        <v>3.9853262806378984</v>
      </c>
      <c r="BK70" s="68">
        <f t="shared" ref="BK70:BL70" si="169">BK69+BK68</f>
        <v>3.6114373366763726</v>
      </c>
      <c r="BL70" s="68">
        <f t="shared" si="169"/>
        <v>3.7274657921823651</v>
      </c>
    </row>
    <row r="71" spans="2:64" x14ac:dyDescent="0.25">
      <c r="U71" s="130" t="s">
        <v>78</v>
      </c>
      <c r="V71" s="265"/>
      <c r="W71" s="265"/>
      <c r="X71" s="266"/>
      <c r="Z71" s="130" t="s">
        <v>78</v>
      </c>
      <c r="AA71" s="212"/>
      <c r="AB71" s="212"/>
      <c r="AC71" s="215"/>
      <c r="AD71" s="146"/>
      <c r="AE71" s="130" t="s">
        <v>78</v>
      </c>
      <c r="AF71" s="212"/>
      <c r="AG71" s="212"/>
      <c r="AH71" s="215"/>
      <c r="AJ71" s="130" t="s">
        <v>78</v>
      </c>
      <c r="AK71" s="212"/>
      <c r="AL71" s="212"/>
      <c r="AM71" s="215"/>
      <c r="AO71" s="130" t="s">
        <v>78</v>
      </c>
      <c r="AP71" s="212"/>
      <c r="AQ71" s="212"/>
      <c r="AR71" s="215"/>
      <c r="AT71" s="130" t="s">
        <v>78</v>
      </c>
      <c r="AU71" s="212"/>
      <c r="AV71" s="212"/>
      <c r="AW71" s="215"/>
      <c r="AY71" s="130" t="s">
        <v>78</v>
      </c>
      <c r="AZ71" s="212"/>
      <c r="BA71" s="212"/>
      <c r="BB71" s="215"/>
      <c r="BD71" s="142" t="s">
        <v>78</v>
      </c>
      <c r="BE71" s="212"/>
      <c r="BF71" s="212"/>
      <c r="BG71" s="215"/>
      <c r="BI71" s="139" t="s">
        <v>78</v>
      </c>
      <c r="BJ71" s="214"/>
      <c r="BK71" s="212"/>
      <c r="BL71" s="212"/>
    </row>
    <row r="72" spans="2:64" x14ac:dyDescent="0.25">
      <c r="U72" s="127" t="s">
        <v>80</v>
      </c>
      <c r="V72" s="69">
        <f t="shared" ref="V72:X73" si="170">V63-V48</f>
        <v>-328.39956615300241</v>
      </c>
      <c r="W72" s="69">
        <f t="shared" si="170"/>
        <v>-325.92264594078938</v>
      </c>
      <c r="X72" s="121">
        <f t="shared" si="170"/>
        <v>-374.24900768622547</v>
      </c>
      <c r="Z72" s="127" t="s">
        <v>80</v>
      </c>
      <c r="AA72" s="69">
        <f t="shared" ref="AA72:AC73" si="171">AA63-AA48</f>
        <v>-312.76149157428802</v>
      </c>
      <c r="AB72" s="69">
        <f t="shared" si="171"/>
        <v>-310.40251994360892</v>
      </c>
      <c r="AC72" s="121">
        <f t="shared" si="171"/>
        <v>-356.4276263678338</v>
      </c>
      <c r="AD72" s="77"/>
      <c r="AE72" s="127" t="s">
        <v>80</v>
      </c>
      <c r="AF72" s="69">
        <f t="shared" ref="AF72:AH73" si="172">AF63-AF48</f>
        <v>-328.39956615300241</v>
      </c>
      <c r="AG72" s="69">
        <f t="shared" si="172"/>
        <v>-325.92264594078938</v>
      </c>
      <c r="AH72" s="121">
        <f t="shared" si="172"/>
        <v>-374.24900768622547</v>
      </c>
      <c r="AJ72" s="127" t="s">
        <v>80</v>
      </c>
      <c r="AK72" s="69">
        <f t="shared" ref="AK72:AM72" si="173">AK63-AK48</f>
        <v>-312.76149157428802</v>
      </c>
      <c r="AL72" s="69">
        <f t="shared" si="173"/>
        <v>-310.40251994360892</v>
      </c>
      <c r="AM72" s="121">
        <f t="shared" si="173"/>
        <v>-356.4276263678338</v>
      </c>
      <c r="AO72" s="127" t="s">
        <v>80</v>
      </c>
      <c r="AP72" s="69">
        <f t="shared" ref="AP72:AR72" si="174">AP63-AP48</f>
        <v>-328.39956615300241</v>
      </c>
      <c r="AQ72" s="69">
        <f t="shared" si="174"/>
        <v>-325.92264594078938</v>
      </c>
      <c r="AR72" s="121">
        <f t="shared" si="174"/>
        <v>-374.24900768622547</v>
      </c>
      <c r="AT72" s="127" t="s">
        <v>80</v>
      </c>
      <c r="AU72" s="69">
        <f t="shared" ref="AU72:AW72" si="175">AU63-AU48</f>
        <v>-312.76149157428802</v>
      </c>
      <c r="AV72" s="69">
        <f t="shared" si="175"/>
        <v>-310.40251994360892</v>
      </c>
      <c r="AW72" s="121">
        <f t="shared" si="175"/>
        <v>-356.4276263678338</v>
      </c>
      <c r="AY72" s="127" t="s">
        <v>80</v>
      </c>
      <c r="AZ72" s="69">
        <f t="shared" ref="AZ72:BB72" si="176">AZ63-AZ48</f>
        <v>-350.29287056320243</v>
      </c>
      <c r="BA72" s="69">
        <f t="shared" si="176"/>
        <v>-347.650822336842</v>
      </c>
      <c r="BB72" s="121">
        <f t="shared" si="176"/>
        <v>-399.19894153197379</v>
      </c>
      <c r="BD72" s="138" t="s">
        <v>196</v>
      </c>
      <c r="BE72" s="69">
        <f t="shared" ref="BE72:BG72" si="177">BE63-BE48</f>
        <v>-7699.8725944431953</v>
      </c>
      <c r="BF72" s="69">
        <f t="shared" si="177"/>
        <v>-7641.7970912260116</v>
      </c>
      <c r="BG72" s="121">
        <f t="shared" si="177"/>
        <v>-8774.8888085867657</v>
      </c>
      <c r="BI72" s="138" t="s">
        <v>226</v>
      </c>
      <c r="BJ72" s="120">
        <f>BJ63-BJ48</f>
        <v>-9982.3591637731552</v>
      </c>
      <c r="BK72" s="69">
        <f t="shared" ref="BK72:BL72" si="178">BK63-BK48</f>
        <v>-8937.7434872681406</v>
      </c>
      <c r="BL72" s="69">
        <f t="shared" si="178"/>
        <v>-9183.2889199319761</v>
      </c>
    </row>
    <row r="73" spans="2:64" x14ac:dyDescent="0.25">
      <c r="T73" s="192"/>
      <c r="U73" s="127" t="s">
        <v>82</v>
      </c>
      <c r="V73" s="69">
        <f t="shared" si="170"/>
        <v>2613.0606631229675</v>
      </c>
      <c r="W73" s="69">
        <f t="shared" si="170"/>
        <v>2643.1064435233584</v>
      </c>
      <c r="X73" s="121">
        <f>X64-X49</f>
        <v>3058.0653551965652</v>
      </c>
      <c r="Z73" s="127" t="s">
        <v>82</v>
      </c>
      <c r="AA73" s="69">
        <f t="shared" si="171"/>
        <v>2915.9801262279293</v>
      </c>
      <c r="AB73" s="69">
        <f t="shared" si="171"/>
        <v>2942.837198321628</v>
      </c>
      <c r="AC73" s="121">
        <f t="shared" si="171"/>
        <v>3402.2630204699167</v>
      </c>
      <c r="AD73" s="77"/>
      <c r="AE73" s="127" t="s">
        <v>82</v>
      </c>
      <c r="AF73" s="69">
        <f t="shared" si="172"/>
        <v>2613.9939823802988</v>
      </c>
      <c r="AG73" s="69">
        <f t="shared" si="172"/>
        <v>2643.1064435233584</v>
      </c>
      <c r="AH73" s="121">
        <f t="shared" si="172"/>
        <v>3058.0653551965652</v>
      </c>
      <c r="AJ73" s="127" t="s">
        <v>82</v>
      </c>
      <c r="AK73" s="69">
        <f t="shared" ref="AK73:AM73" si="179">AK64-AK49</f>
        <v>2915.9801262279293</v>
      </c>
      <c r="AL73" s="69">
        <f t="shared" si="179"/>
        <v>2942.837198321628</v>
      </c>
      <c r="AM73" s="121">
        <f t="shared" si="179"/>
        <v>3402.2630204699167</v>
      </c>
      <c r="AO73" s="127" t="s">
        <v>82</v>
      </c>
      <c r="AP73" s="69">
        <f t="shared" ref="AP73:AR73" si="180">AP64-AP49</f>
        <v>2613.8459573758441</v>
      </c>
      <c r="AQ73" s="69">
        <f t="shared" si="180"/>
        <v>2642.981845603183</v>
      </c>
      <c r="AR73" s="121">
        <f t="shared" si="180"/>
        <v>3057.9464484184355</v>
      </c>
      <c r="AT73" s="127" t="s">
        <v>82</v>
      </c>
      <c r="AU73" s="69">
        <f t="shared" ref="AU73:AW73" si="181">AU64-AU49</f>
        <v>2915.9801262279293</v>
      </c>
      <c r="AV73" s="69">
        <f t="shared" si="181"/>
        <v>2942.837198321628</v>
      </c>
      <c r="AW73" s="121">
        <f t="shared" si="181"/>
        <v>3402.2630204699167</v>
      </c>
      <c r="AY73" s="127" t="s">
        <v>82</v>
      </c>
      <c r="AZ73" s="69">
        <f t="shared" ref="AZ73:BB73" si="182">AZ64-AZ49</f>
        <v>2915.9801262279293</v>
      </c>
      <c r="BA73" s="69">
        <f t="shared" si="182"/>
        <v>2942.837198321628</v>
      </c>
      <c r="BB73" s="121">
        <f t="shared" si="182"/>
        <v>3402.2630204699167</v>
      </c>
      <c r="BD73" s="138" t="s">
        <v>195</v>
      </c>
      <c r="BE73" s="69">
        <f t="shared" ref="BE73:BG73" si="183">BE64-BE49</f>
        <v>2915.9801262279293</v>
      </c>
      <c r="BF73" s="69">
        <f t="shared" si="183"/>
        <v>2942.837198321628</v>
      </c>
      <c r="BG73" s="121">
        <f t="shared" si="183"/>
        <v>3402.2630204699167</v>
      </c>
      <c r="BI73" s="138" t="s">
        <v>227</v>
      </c>
      <c r="BJ73" s="120">
        <f>BJ64-BJ49</f>
        <v>8888.6358900961659</v>
      </c>
      <c r="BK73" s="69">
        <f t="shared" ref="BK73:BL73" si="184">BK64-BK49</f>
        <v>8054.1481827905509</v>
      </c>
      <c r="BL73" s="69">
        <f t="shared" si="184"/>
        <v>8313.172275355224</v>
      </c>
    </row>
    <row r="74" spans="2:64" x14ac:dyDescent="0.25">
      <c r="U74" s="127" t="s">
        <v>84</v>
      </c>
      <c r="V74" s="58">
        <f t="shared" ref="V74:W74" si="185">(V72/10)+(V73*0.003412)</f>
        <v>-23.924193632724673</v>
      </c>
      <c r="W74" s="58">
        <f t="shared" si="185"/>
        <v>-23.57398540877724</v>
      </c>
      <c r="X74" s="106">
        <f>-(-X72/10)+(X73*0.003412)</f>
        <v>-26.990781776691868</v>
      </c>
      <c r="Z74" s="127" t="s">
        <v>84</v>
      </c>
      <c r="AA74" s="58">
        <f t="shared" ref="AA74:AC74" si="186">(AA72/10)+(AA73*0.003412)</f>
        <v>-21.326824966739103</v>
      </c>
      <c r="AB74" s="58">
        <f t="shared" si="186"/>
        <v>-20.999291473687499</v>
      </c>
      <c r="AC74" s="106">
        <f t="shared" si="186"/>
        <v>-24.034241210940024</v>
      </c>
      <c r="AD74" s="77"/>
      <c r="AE74" s="127" t="s">
        <v>84</v>
      </c>
      <c r="AF74" s="58">
        <f t="shared" ref="AF74:AH74" si="187">(AF72/10)+(AF73*0.003412)</f>
        <v>-23.921009147418658</v>
      </c>
      <c r="AG74" s="58">
        <f t="shared" si="187"/>
        <v>-23.57398540877724</v>
      </c>
      <c r="AH74" s="106">
        <f t="shared" si="187"/>
        <v>-26.990781776691868</v>
      </c>
      <c r="AJ74" s="127" t="s">
        <v>84</v>
      </c>
      <c r="AK74" s="58">
        <f t="shared" ref="AK74:AM74" si="188">(AK72/10)+(AK73*0.003412)</f>
        <v>-21.326824966739103</v>
      </c>
      <c r="AL74" s="58">
        <f t="shared" si="188"/>
        <v>-20.999291473687499</v>
      </c>
      <c r="AM74" s="106">
        <f t="shared" si="188"/>
        <v>-24.034241210940024</v>
      </c>
      <c r="AO74" s="127" t="s">
        <v>84</v>
      </c>
      <c r="AP74" s="58">
        <f t="shared" ref="AP74:AR74" si="189">(AP72/10)+(AP73*0.003412)</f>
        <v>-23.921514208733857</v>
      </c>
      <c r="AQ74" s="58">
        <f t="shared" si="189"/>
        <v>-23.57441053688088</v>
      </c>
      <c r="AR74" s="106">
        <f t="shared" si="189"/>
        <v>-26.991187486618848</v>
      </c>
      <c r="AT74" s="127" t="s">
        <v>84</v>
      </c>
      <c r="AU74" s="58">
        <f t="shared" ref="AU74:AW74" si="190">(AU72/10)+(AU73*0.003412)</f>
        <v>-21.326824966739103</v>
      </c>
      <c r="AV74" s="58">
        <f t="shared" si="190"/>
        <v>-20.999291473687499</v>
      </c>
      <c r="AW74" s="106">
        <f t="shared" si="190"/>
        <v>-24.034241210940024</v>
      </c>
      <c r="AY74" s="127" t="s">
        <v>84</v>
      </c>
      <c r="AZ74" s="58">
        <f t="shared" ref="AZ74:BB74" si="191">(AZ72/10)+(AZ73*0.003412)</f>
        <v>-25.079962865630549</v>
      </c>
      <c r="BA74" s="58">
        <f t="shared" si="191"/>
        <v>-24.724121713010803</v>
      </c>
      <c r="BB74" s="106">
        <f t="shared" si="191"/>
        <v>-28.311372727354019</v>
      </c>
      <c r="BD74" s="138" t="s">
        <v>84</v>
      </c>
      <c r="BE74" s="58">
        <f t="shared" ref="BE74:BG74" si="192">(BE72*0.003412)+(BE73*0.003412)</f>
        <v>-16.322641101550488</v>
      </c>
      <c r="BF74" s="58">
        <f t="shared" si="192"/>
        <v>-16.032851154589757</v>
      </c>
      <c r="BG74" s="106">
        <f t="shared" si="192"/>
        <v>-18.331399189054689</v>
      </c>
      <c r="BI74" s="138" t="s">
        <v>84</v>
      </c>
      <c r="BJ74" s="105">
        <f>(BJ72*0.003412)+(BJ73*0.003412)</f>
        <v>-3.7317838097858882</v>
      </c>
      <c r="BK74" s="58">
        <f t="shared" ref="BK74:BL74" si="193">(BK72*0.003412)+(BK73*0.003412)</f>
        <v>-3.0148271788775354</v>
      </c>
      <c r="BL74" s="58">
        <f t="shared" si="193"/>
        <v>-2.968837991295878</v>
      </c>
    </row>
    <row r="75" spans="2:64" x14ac:dyDescent="0.25">
      <c r="B75" s="328" t="s">
        <v>136</v>
      </c>
      <c r="C75" s="328"/>
      <c r="D75" s="15" t="s">
        <v>148</v>
      </c>
      <c r="E75" s="328" t="s">
        <v>12</v>
      </c>
      <c r="F75" s="328"/>
      <c r="G75" s="328"/>
      <c r="H75" s="328"/>
      <c r="I75" s="328"/>
      <c r="J75" s="277"/>
      <c r="L75" s="73"/>
      <c r="M75" s="73"/>
      <c r="N75" s="73"/>
      <c r="O75" s="73"/>
      <c r="P75" s="73"/>
      <c r="Q75" s="73"/>
      <c r="R75" s="73"/>
      <c r="S75" s="73"/>
      <c r="U75" s="127" t="s">
        <v>86</v>
      </c>
      <c r="V75" s="62">
        <f t="shared" ref="V75:X76" si="194">V65-V52</f>
        <v>-351.38753578371268</v>
      </c>
      <c r="W75" s="62">
        <f t="shared" si="194"/>
        <v>-348.73723115664461</v>
      </c>
      <c r="X75" s="104">
        <f t="shared" si="194"/>
        <v>-400.44643822426121</v>
      </c>
      <c r="Z75" s="127" t="s">
        <v>86</v>
      </c>
      <c r="AA75" s="62">
        <f t="shared" ref="AA75:AC76" si="195">AA65-AA52</f>
        <v>-334.65479598448826</v>
      </c>
      <c r="AB75" s="62">
        <f t="shared" si="195"/>
        <v>-332.13069633966154</v>
      </c>
      <c r="AC75" s="104">
        <f t="shared" si="195"/>
        <v>-381.37756021358223</v>
      </c>
      <c r="AD75" s="155"/>
      <c r="AE75" s="127" t="s">
        <v>86</v>
      </c>
      <c r="AF75" s="62">
        <f t="shared" ref="AF75:AH76" si="196">AF65-AF52</f>
        <v>-791.4429544287359</v>
      </c>
      <c r="AG75" s="62">
        <f t="shared" si="196"/>
        <v>-785.47357671730242</v>
      </c>
      <c r="AH75" s="104">
        <f t="shared" si="196"/>
        <v>-901.94010852380302</v>
      </c>
      <c r="AJ75" s="127" t="s">
        <v>86</v>
      </c>
      <c r="AK75" s="62">
        <f t="shared" ref="AK75:AM75" si="197">AK65-AK52</f>
        <v>-753.75519469403389</v>
      </c>
      <c r="AL75" s="62">
        <f t="shared" si="197"/>
        <v>-748.07007306409764</v>
      </c>
      <c r="AM75" s="104">
        <f t="shared" si="197"/>
        <v>-858.99057954647947</v>
      </c>
      <c r="AO75" s="127" t="s">
        <v>86</v>
      </c>
      <c r="AP75" s="62">
        <f t="shared" ref="AP75:AR75" si="198">AP65-AP52</f>
        <v>-535.29129282939402</v>
      </c>
      <c r="AQ75" s="62">
        <f t="shared" si="198"/>
        <v>-531.25391288348658</v>
      </c>
      <c r="AR75" s="104">
        <f t="shared" si="198"/>
        <v>-610.02588252854741</v>
      </c>
      <c r="AT75" s="127" t="s">
        <v>86</v>
      </c>
      <c r="AU75" s="62">
        <f t="shared" ref="AU75:AW75" si="199">AU65-AU52</f>
        <v>-509.80123126608942</v>
      </c>
      <c r="AV75" s="62">
        <f t="shared" si="199"/>
        <v>-505.9561075080826</v>
      </c>
      <c r="AW75" s="104">
        <f t="shared" si="199"/>
        <v>-580.97703097956912</v>
      </c>
      <c r="AY75" s="127" t="s">
        <v>86</v>
      </c>
      <c r="AZ75" s="62">
        <f t="shared" ref="AZ75:BB75" si="200">AZ65-AZ52</f>
        <v>-532.44516325606787</v>
      </c>
      <c r="BA75" s="62">
        <f t="shared" si="200"/>
        <v>-528.42924995199974</v>
      </c>
      <c r="BB75" s="104">
        <f t="shared" si="200"/>
        <v>-606.78239112860024</v>
      </c>
      <c r="BD75" s="138" t="s">
        <v>186</v>
      </c>
      <c r="BE75" s="62">
        <f t="shared" ref="BE75:BG75" si="201">BE65-BE52</f>
        <v>-1000.9834372776154</v>
      </c>
      <c r="BF75" s="62">
        <f t="shared" si="201"/>
        <v>-993.43362185938145</v>
      </c>
      <c r="BG75" s="104">
        <f t="shared" si="201"/>
        <v>-1140.7355451162794</v>
      </c>
      <c r="BI75" s="138" t="s">
        <v>222</v>
      </c>
      <c r="BJ75" s="103">
        <f>BJ65-BJ52</f>
        <v>-1297.7066912905102</v>
      </c>
      <c r="BK75" s="62">
        <f t="shared" ref="BK75:BL75" si="202">BK65-BK52</f>
        <v>-1161.9066533448583</v>
      </c>
      <c r="BL75" s="62">
        <f t="shared" si="202"/>
        <v>-1193.8275595911568</v>
      </c>
    </row>
    <row r="76" spans="2:64" x14ac:dyDescent="0.25">
      <c r="B76" s="1" t="s">
        <v>139</v>
      </c>
      <c r="C76" s="200">
        <v>31000</v>
      </c>
      <c r="D76" s="1" t="s">
        <v>140</v>
      </c>
      <c r="E76" t="s">
        <v>285</v>
      </c>
      <c r="U76" s="127" t="s">
        <v>88</v>
      </c>
      <c r="V76" s="62">
        <f t="shared" si="194"/>
        <v>339.69788620598581</v>
      </c>
      <c r="W76" s="62">
        <f t="shared" si="194"/>
        <v>343.60383765803658</v>
      </c>
      <c r="X76" s="104">
        <f t="shared" si="194"/>
        <v>397.54849617555351</v>
      </c>
      <c r="Z76" s="127" t="s">
        <v>88</v>
      </c>
      <c r="AA76" s="62">
        <f t="shared" si="195"/>
        <v>379.07741640963081</v>
      </c>
      <c r="AB76" s="62">
        <f t="shared" si="195"/>
        <v>382.56883578181163</v>
      </c>
      <c r="AC76" s="104">
        <f t="shared" si="195"/>
        <v>442.2941926610892</v>
      </c>
      <c r="AD76" s="155"/>
      <c r="AE76" s="127" t="s">
        <v>88</v>
      </c>
      <c r="AF76" s="62">
        <f t="shared" si="196"/>
        <v>339.81921770943887</v>
      </c>
      <c r="AG76" s="62">
        <f t="shared" si="196"/>
        <v>343.60383765803658</v>
      </c>
      <c r="AH76" s="104">
        <f t="shared" si="196"/>
        <v>397.54849617555351</v>
      </c>
      <c r="AJ76" s="127" t="s">
        <v>88</v>
      </c>
      <c r="AK76" s="62">
        <f t="shared" ref="AK76:AM76" si="203">AK66-AK53</f>
        <v>379.07741640963081</v>
      </c>
      <c r="AL76" s="62">
        <f t="shared" si="203"/>
        <v>382.56883578181163</v>
      </c>
      <c r="AM76" s="104">
        <f t="shared" si="203"/>
        <v>442.2941926610892</v>
      </c>
      <c r="AO76" s="127" t="s">
        <v>88</v>
      </c>
      <c r="AP76" s="62">
        <f t="shared" ref="AP76:AR76" si="204">AP66-AP53</f>
        <v>339.79997445885977</v>
      </c>
      <c r="AQ76" s="62">
        <f t="shared" si="204"/>
        <v>343.58763992841375</v>
      </c>
      <c r="AR76" s="104">
        <f t="shared" si="204"/>
        <v>397.53303829439665</v>
      </c>
      <c r="AT76" s="127" t="s">
        <v>88</v>
      </c>
      <c r="AU76" s="62">
        <f t="shared" ref="AU76:AW76" si="205">AU66-AU53</f>
        <v>379.07741640963081</v>
      </c>
      <c r="AV76" s="62">
        <f t="shared" si="205"/>
        <v>382.56883578181163</v>
      </c>
      <c r="AW76" s="104">
        <f t="shared" si="205"/>
        <v>442.2941926610892</v>
      </c>
      <c r="AY76" s="127" t="s">
        <v>88</v>
      </c>
      <c r="AZ76" s="62">
        <f t="shared" ref="AZ76:BB76" si="206">AZ66-AZ53</f>
        <v>379.07741640963081</v>
      </c>
      <c r="BA76" s="62">
        <f t="shared" si="206"/>
        <v>382.56883578181163</v>
      </c>
      <c r="BB76" s="104">
        <f t="shared" si="206"/>
        <v>442.2941926610892</v>
      </c>
      <c r="BD76" s="138" t="s">
        <v>187</v>
      </c>
      <c r="BE76" s="62">
        <f t="shared" ref="BE76:BG76" si="207">BE66-BE53</f>
        <v>379.07741640963081</v>
      </c>
      <c r="BF76" s="62">
        <f t="shared" si="207"/>
        <v>382.56883578181163</v>
      </c>
      <c r="BG76" s="104">
        <f t="shared" si="207"/>
        <v>442.2941926610892</v>
      </c>
      <c r="BI76" s="138" t="s">
        <v>223</v>
      </c>
      <c r="BJ76" s="103">
        <f>BJ66-BJ53</f>
        <v>1156.4562867922473</v>
      </c>
      <c r="BK76" s="62">
        <f t="shared" ref="BK76:BL76" si="208">BK66-BK53</f>
        <v>1047.9617271605546</v>
      </c>
      <c r="BL76" s="62">
        <f t="shared" si="208"/>
        <v>1081.6306986243469</v>
      </c>
    </row>
    <row r="77" spans="2:64" x14ac:dyDescent="0.25">
      <c r="B77" s="1" t="s">
        <v>138</v>
      </c>
      <c r="C77" s="200">
        <v>30000</v>
      </c>
      <c r="D77" s="1" t="s">
        <v>140</v>
      </c>
      <c r="E77" t="s">
        <v>285</v>
      </c>
      <c r="U77" s="127" t="s">
        <v>90</v>
      </c>
      <c r="V77" s="62">
        <f t="shared" ref="V77:X77" si="209">V76+V75</f>
        <v>-11.689649577726868</v>
      </c>
      <c r="W77" s="62">
        <f t="shared" si="209"/>
        <v>-5.1333934986080294</v>
      </c>
      <c r="X77" s="104">
        <f t="shared" si="209"/>
        <v>-2.897942048707705</v>
      </c>
      <c r="Z77" s="127" t="s">
        <v>90</v>
      </c>
      <c r="AA77" s="62">
        <f t="shared" ref="AA77:AC77" si="210">AA76+AA75</f>
        <v>44.422620425142554</v>
      </c>
      <c r="AB77" s="62">
        <f t="shared" si="210"/>
        <v>50.438139442150089</v>
      </c>
      <c r="AC77" s="104">
        <f t="shared" si="210"/>
        <v>60.91663244750697</v>
      </c>
      <c r="AD77" s="155"/>
      <c r="AE77" s="127" t="s">
        <v>90</v>
      </c>
      <c r="AF77" s="62">
        <f t="shared" ref="AF77:AH77" si="211">AF76+AF75</f>
        <v>-451.62373671929703</v>
      </c>
      <c r="AG77" s="62">
        <f t="shared" si="211"/>
        <v>-441.86973905926584</v>
      </c>
      <c r="AH77" s="104">
        <f t="shared" si="211"/>
        <v>-504.39161234824951</v>
      </c>
      <c r="AJ77" s="127" t="s">
        <v>90</v>
      </c>
      <c r="AK77" s="62">
        <f t="shared" ref="AK77:AM77" si="212">AK76+AK75</f>
        <v>-374.67777828440308</v>
      </c>
      <c r="AL77" s="62">
        <f t="shared" si="212"/>
        <v>-365.50123728228601</v>
      </c>
      <c r="AM77" s="104">
        <f t="shared" si="212"/>
        <v>-416.69638688539027</v>
      </c>
      <c r="AO77" s="127" t="s">
        <v>90</v>
      </c>
      <c r="AP77" s="62">
        <f t="shared" ref="AP77:AR77" si="213">AP76+AP75</f>
        <v>-195.49131837053426</v>
      </c>
      <c r="AQ77" s="62">
        <f t="shared" si="213"/>
        <v>-187.66627295507283</v>
      </c>
      <c r="AR77" s="104">
        <f t="shared" si="213"/>
        <v>-212.49284423415077</v>
      </c>
      <c r="AT77" s="127" t="s">
        <v>90</v>
      </c>
      <c r="AU77" s="62">
        <f t="shared" ref="AU77:AW77" si="214">AU76+AU75</f>
        <v>-130.7238148564586</v>
      </c>
      <c r="AV77" s="62">
        <f t="shared" si="214"/>
        <v>-123.38727172627097</v>
      </c>
      <c r="AW77" s="104">
        <f t="shared" si="214"/>
        <v>-138.68283831847992</v>
      </c>
      <c r="AY77" s="127" t="s">
        <v>90</v>
      </c>
      <c r="AZ77" s="62">
        <f t="shared" ref="AZ77:BB77" si="215">AZ76+AZ75</f>
        <v>-153.36774684643706</v>
      </c>
      <c r="BA77" s="62">
        <f t="shared" si="215"/>
        <v>-145.86041417018811</v>
      </c>
      <c r="BB77" s="104">
        <f t="shared" si="215"/>
        <v>-164.48819846751104</v>
      </c>
      <c r="BD77" s="138" t="s">
        <v>90</v>
      </c>
      <c r="BE77" s="62">
        <f t="shared" ref="BE77:BG77" si="216">BE76+BE75</f>
        <v>-621.90602086798458</v>
      </c>
      <c r="BF77" s="62">
        <f t="shared" si="216"/>
        <v>-610.86478607756976</v>
      </c>
      <c r="BG77" s="104">
        <f t="shared" si="216"/>
        <v>-698.4413524551901</v>
      </c>
      <c r="BI77" s="138" t="s">
        <v>90</v>
      </c>
      <c r="BJ77" s="103">
        <f>BJ76+BJ75</f>
        <v>-141.25040449826292</v>
      </c>
      <c r="BK77" s="62">
        <f t="shared" ref="BK77:BL77" si="217">BK76+BK75</f>
        <v>-113.94492618430377</v>
      </c>
      <c r="BL77" s="62">
        <f t="shared" si="217"/>
        <v>-112.19686096680994</v>
      </c>
    </row>
    <row r="78" spans="2:64" x14ac:dyDescent="0.25">
      <c r="B78" s="1" t="s">
        <v>137</v>
      </c>
      <c r="C78" s="200">
        <v>35500</v>
      </c>
      <c r="D78" s="1" t="s">
        <v>140</v>
      </c>
      <c r="E78" t="s">
        <v>147</v>
      </c>
      <c r="U78" s="127" t="s">
        <v>91</v>
      </c>
      <c r="V78" s="70">
        <f t="shared" ref="V78:X79" si="218">V68-V55</f>
        <v>-1.7441300958385959</v>
      </c>
      <c r="W78" s="70">
        <f t="shared" si="218"/>
        <v>-1.7309751725915321</v>
      </c>
      <c r="X78" s="123">
        <f t="shared" si="218"/>
        <v>-1.9876364798215436</v>
      </c>
      <c r="Z78" s="127" t="s">
        <v>91</v>
      </c>
      <c r="AA78" s="70">
        <f t="shared" ref="AA78:AC79" si="219">AA68-AA55</f>
        <v>-1.6610762817510434</v>
      </c>
      <c r="AB78" s="70">
        <f t="shared" si="219"/>
        <v>-1.6485477834205065</v>
      </c>
      <c r="AC78" s="123">
        <f t="shared" si="219"/>
        <v>-1.892987123639565</v>
      </c>
      <c r="AD78" s="160"/>
      <c r="AE78" s="127" t="s">
        <v>165</v>
      </c>
      <c r="AF78" s="70">
        <f t="shared" ref="AF78:AH79" si="220">AF68-AF55</f>
        <v>-2.0725296619915978</v>
      </c>
      <c r="AG78" s="70">
        <f t="shared" si="220"/>
        <v>-2.0568978185323221</v>
      </c>
      <c r="AH78" s="123">
        <f t="shared" si="220"/>
        <v>-2.3618854875077693</v>
      </c>
      <c r="AJ78" s="127" t="s">
        <v>165</v>
      </c>
      <c r="AK78" s="70">
        <f t="shared" ref="AK78:AM78" si="221">AK68-AK55</f>
        <v>-1.9738377733253314</v>
      </c>
      <c r="AL78" s="70">
        <f t="shared" si="221"/>
        <v>-1.9589503033641162</v>
      </c>
      <c r="AM78" s="123">
        <f t="shared" si="221"/>
        <v>-2.2494147500073991</v>
      </c>
      <c r="AO78" s="127" t="s">
        <v>175</v>
      </c>
      <c r="AP78" s="70">
        <f t="shared" ref="AP78:AR78" si="222">AP68-AP55</f>
        <v>-2.4774463270582503</v>
      </c>
      <c r="AQ78" s="70">
        <f t="shared" si="222"/>
        <v>-2.4587604409773158</v>
      </c>
      <c r="AR78" s="123">
        <f t="shared" si="222"/>
        <v>-2.8233345139848849</v>
      </c>
      <c r="AT78" s="127" t="s">
        <v>175</v>
      </c>
      <c r="AU78" s="70">
        <f t="shared" ref="AU78:AW78" si="223">AU68-AU55</f>
        <v>-2.3594726924364284</v>
      </c>
      <c r="AV78" s="70">
        <f t="shared" si="223"/>
        <v>-2.3416766104545852</v>
      </c>
      <c r="AW78" s="123">
        <f t="shared" si="223"/>
        <v>-2.6888900133189386</v>
      </c>
      <c r="AY78" s="127" t="s">
        <v>180</v>
      </c>
      <c r="AZ78" s="70">
        <f>AZ68-AZ55</f>
        <v>-3.3228781701625376</v>
      </c>
      <c r="BA78" s="70">
        <f t="shared" ref="BA78:BB78" si="224">BA68-BA55</f>
        <v>-3.2978157006872824</v>
      </c>
      <c r="BB78" s="123">
        <f t="shared" si="224"/>
        <v>-3.7868011593723025</v>
      </c>
      <c r="BD78" s="138" t="s">
        <v>282</v>
      </c>
      <c r="BE78" s="70">
        <f>BE68-BE55</f>
        <v>-3.4495429223105516</v>
      </c>
      <c r="BF78" s="70">
        <f t="shared" ref="BF78:BG78" si="225">BF68-BF55</f>
        <v>-3.4235250968692528</v>
      </c>
      <c r="BG78" s="123">
        <f t="shared" si="225"/>
        <v>-3.9311501862468718</v>
      </c>
      <c r="BI78" s="138" t="s">
        <v>224</v>
      </c>
      <c r="BJ78" s="122">
        <f>BJ68-BJ55</f>
        <v>-4.4720969053703739</v>
      </c>
      <c r="BK78" s="70">
        <f t="shared" ref="BK78:BL78" si="226">BK68-BK55</f>
        <v>-4.0041090822961278</v>
      </c>
      <c r="BL78" s="70">
        <f t="shared" si="226"/>
        <v>-4.114113436129526</v>
      </c>
    </row>
    <row r="79" spans="2:64" x14ac:dyDescent="0.25">
      <c r="B79" s="1" t="s">
        <v>141</v>
      </c>
      <c r="C79" s="201">
        <v>10</v>
      </c>
      <c r="D79" s="1"/>
      <c r="E79" t="s">
        <v>152</v>
      </c>
      <c r="U79" s="127" t="s">
        <v>92</v>
      </c>
      <c r="V79" s="70">
        <f t="shared" si="218"/>
        <v>1.1706511770790895</v>
      </c>
      <c r="W79" s="70">
        <f t="shared" si="218"/>
        <v>1.1841116866984647</v>
      </c>
      <c r="X79" s="123">
        <f t="shared" si="218"/>
        <v>1.3700132791280613</v>
      </c>
      <c r="Z79" s="127" t="s">
        <v>92</v>
      </c>
      <c r="AA79" s="70">
        <f t="shared" si="219"/>
        <v>1.3063590965501124</v>
      </c>
      <c r="AB79" s="70">
        <f t="shared" si="219"/>
        <v>1.3183910648480894</v>
      </c>
      <c r="AC79" s="123">
        <f t="shared" si="219"/>
        <v>1.5242138331705228</v>
      </c>
      <c r="AD79" s="160"/>
      <c r="AE79" s="127" t="s">
        <v>92</v>
      </c>
      <c r="AF79" s="70">
        <f t="shared" si="220"/>
        <v>1.171069304106374</v>
      </c>
      <c r="AG79" s="70">
        <f t="shared" si="220"/>
        <v>1.1841116866984647</v>
      </c>
      <c r="AH79" s="123">
        <f t="shared" si="220"/>
        <v>1.3700132791280613</v>
      </c>
      <c r="AJ79" s="127" t="s">
        <v>92</v>
      </c>
      <c r="AK79" s="70">
        <f t="shared" ref="AK79:AM79" si="227">AK69-AK56</f>
        <v>1.3063590965501124</v>
      </c>
      <c r="AL79" s="70">
        <f t="shared" si="227"/>
        <v>1.3183910648480894</v>
      </c>
      <c r="AM79" s="123">
        <f t="shared" si="227"/>
        <v>1.5242138331705228</v>
      </c>
      <c r="AO79" s="127" t="s">
        <v>92</v>
      </c>
      <c r="AP79" s="70">
        <f t="shared" ref="AP79:AR79" si="228">AP69-AP56</f>
        <v>1.1710029889043785</v>
      </c>
      <c r="AQ79" s="70">
        <f t="shared" si="228"/>
        <v>1.1840558668302261</v>
      </c>
      <c r="AR79" s="123">
        <f t="shared" si="228"/>
        <v>1.3699600088914592</v>
      </c>
      <c r="AT79" s="127" t="s">
        <v>92</v>
      </c>
      <c r="AU79" s="70">
        <f t="shared" ref="AU79:AW79" si="229">AU69-AU56</f>
        <v>1.3063590965501124</v>
      </c>
      <c r="AV79" s="70">
        <f t="shared" si="229"/>
        <v>1.3183910648480894</v>
      </c>
      <c r="AW79" s="123">
        <f t="shared" si="229"/>
        <v>1.5242138331705228</v>
      </c>
      <c r="AY79" s="127" t="s">
        <v>92</v>
      </c>
      <c r="AZ79" s="70">
        <f t="shared" ref="AZ79:BB79" si="230">AZ69-AZ56</f>
        <v>1.3063590965501124</v>
      </c>
      <c r="BA79" s="70">
        <f t="shared" si="230"/>
        <v>1.3183910648480894</v>
      </c>
      <c r="BB79" s="123">
        <f t="shared" si="230"/>
        <v>1.5242138331705228</v>
      </c>
      <c r="BD79" s="138" t="s">
        <v>183</v>
      </c>
      <c r="BE79" s="70">
        <f t="shared" ref="BE79:BG79" si="231">BE69-BE56</f>
        <v>1.3063590965501124</v>
      </c>
      <c r="BF79" s="70">
        <f t="shared" si="231"/>
        <v>1.3183910648480894</v>
      </c>
      <c r="BG79" s="123">
        <f t="shared" si="231"/>
        <v>1.5242138331705228</v>
      </c>
      <c r="BI79" s="138" t="s">
        <v>225</v>
      </c>
      <c r="BJ79" s="122">
        <f>BJ69-BJ56</f>
        <v>3.9853262806378984</v>
      </c>
      <c r="BK79" s="70">
        <f t="shared" ref="BK79:BL79" si="232">BK69-BK56</f>
        <v>3.6114373366763726</v>
      </c>
      <c r="BL79" s="70">
        <f t="shared" si="232"/>
        <v>3.7274657921823651</v>
      </c>
    </row>
    <row r="80" spans="2:64" ht="15.75" thickBot="1" x14ac:dyDescent="0.3">
      <c r="B80" s="1" t="s">
        <v>142</v>
      </c>
      <c r="C80" s="201">
        <v>19.5</v>
      </c>
      <c r="D80" s="1"/>
      <c r="E80" t="s">
        <v>152</v>
      </c>
      <c r="U80" s="131" t="s">
        <v>94</v>
      </c>
      <c r="V80" s="132">
        <f>V79+V78</f>
        <v>-0.57347891875950641</v>
      </c>
      <c r="W80" s="132">
        <f t="shared" ref="W80:X80" si="233">W79+W78</f>
        <v>-0.54686348589306744</v>
      </c>
      <c r="X80" s="133">
        <f t="shared" si="233"/>
        <v>-0.61762320069348231</v>
      </c>
      <c r="Z80" s="131" t="s">
        <v>94</v>
      </c>
      <c r="AA80" s="132">
        <f t="shared" ref="AA80:AC80" si="234">AA79+AA78</f>
        <v>-0.35471718520093098</v>
      </c>
      <c r="AB80" s="132">
        <f t="shared" si="234"/>
        <v>-0.33015671857241702</v>
      </c>
      <c r="AC80" s="133">
        <f t="shared" si="234"/>
        <v>-0.36877329046904217</v>
      </c>
      <c r="AD80" s="78"/>
      <c r="AE80" s="131" t="s">
        <v>94</v>
      </c>
      <c r="AF80" s="132">
        <f t="shared" ref="AF80:AH80" si="235">AF79+AF78</f>
        <v>-0.90146035788522383</v>
      </c>
      <c r="AG80" s="132">
        <f t="shared" si="235"/>
        <v>-0.87278613183385745</v>
      </c>
      <c r="AH80" s="133">
        <f t="shared" si="235"/>
        <v>-0.99187220837970802</v>
      </c>
      <c r="AJ80" s="131" t="s">
        <v>94</v>
      </c>
      <c r="AK80" s="132">
        <f t="shared" ref="AK80:AM80" si="236">AK79+AK78</f>
        <v>-0.66747867677521899</v>
      </c>
      <c r="AL80" s="132">
        <f t="shared" si="236"/>
        <v>-0.64055923851602681</v>
      </c>
      <c r="AM80" s="133">
        <f t="shared" si="236"/>
        <v>-0.72520091683687626</v>
      </c>
      <c r="AO80" s="131" t="s">
        <v>94</v>
      </c>
      <c r="AP80" s="132">
        <f t="shared" ref="AP80:AR80" si="237">AP79+AP78</f>
        <v>-1.3064433381538718</v>
      </c>
      <c r="AQ80" s="132">
        <f t="shared" si="237"/>
        <v>-1.2747045741470897</v>
      </c>
      <c r="AR80" s="133">
        <f t="shared" si="237"/>
        <v>-1.4533745050934257</v>
      </c>
      <c r="AT80" s="131" t="s">
        <v>94</v>
      </c>
      <c r="AU80" s="132">
        <f t="shared" ref="AU80:AW80" si="238">AU79+AU78</f>
        <v>-1.053113595886316</v>
      </c>
      <c r="AV80" s="132">
        <f t="shared" si="238"/>
        <v>-1.0232855456064958</v>
      </c>
      <c r="AW80" s="133">
        <f t="shared" si="238"/>
        <v>-1.1646761801484158</v>
      </c>
      <c r="AY80" s="131" t="s">
        <v>94</v>
      </c>
      <c r="AZ80" s="132">
        <f t="shared" ref="AZ80:BB80" si="239">AZ79+AZ78</f>
        <v>-2.0165190736124252</v>
      </c>
      <c r="BA80" s="132">
        <f t="shared" si="239"/>
        <v>-1.9794246358391929</v>
      </c>
      <c r="BB80" s="133">
        <f t="shared" si="239"/>
        <v>-2.2625873262017797</v>
      </c>
      <c r="BD80" s="138" t="s">
        <v>94</v>
      </c>
      <c r="BE80" s="213">
        <f t="shared" ref="BE80:BG80" si="240">BE79+BE78</f>
        <v>-2.1431838257604392</v>
      </c>
      <c r="BF80" s="213">
        <f t="shared" si="240"/>
        <v>-2.1051340320211631</v>
      </c>
      <c r="BG80" s="222">
        <f t="shared" si="240"/>
        <v>-2.406936353076349</v>
      </c>
      <c r="BI80" s="138" t="s">
        <v>94</v>
      </c>
      <c r="BJ80" s="221">
        <f>BJ79+BJ78</f>
        <v>-0.48677062473247545</v>
      </c>
      <c r="BK80" s="213">
        <f t="shared" ref="BK80:BL80" si="241">BK79+BK78</f>
        <v>-0.39267174561975526</v>
      </c>
      <c r="BL80" s="213">
        <f t="shared" si="241"/>
        <v>-0.38664764394716089</v>
      </c>
    </row>
    <row r="81" spans="2:64" ht="15.75" thickBot="1" x14ac:dyDescent="0.3">
      <c r="B81" s="1" t="s">
        <v>151</v>
      </c>
      <c r="C81" s="201">
        <v>12.5</v>
      </c>
      <c r="D81" s="1"/>
      <c r="E81" t="s">
        <v>152</v>
      </c>
      <c r="V81" s="309">
        <f>V80*1000</f>
        <v>-573.47891875950643</v>
      </c>
      <c r="W81" s="309">
        <f t="shared" ref="W81:X81" si="242">W80*1000</f>
        <v>-546.86348589306749</v>
      </c>
      <c r="X81" s="309">
        <f t="shared" si="242"/>
        <v>-617.62320069348232</v>
      </c>
      <c r="Z81" s="169"/>
      <c r="AA81" s="170"/>
      <c r="AB81" s="170"/>
      <c r="AC81" s="170"/>
      <c r="AD81" s="78"/>
      <c r="AE81" s="169"/>
      <c r="AF81" s="170"/>
      <c r="AG81" s="170"/>
      <c r="AH81" s="170"/>
      <c r="BD81" s="226" t="s">
        <v>209</v>
      </c>
      <c r="BE81" s="224">
        <f t="shared" ref="BE81:BG81" si="243">BE72+BE73</f>
        <v>-4783.8924682152665</v>
      </c>
      <c r="BF81" s="224">
        <f t="shared" si="243"/>
        <v>-4698.9598929043841</v>
      </c>
      <c r="BG81" s="225">
        <f t="shared" si="243"/>
        <v>-5372.6257881168494</v>
      </c>
      <c r="BI81" s="229" t="s">
        <v>209</v>
      </c>
      <c r="BJ81" s="223">
        <f>BJ72+BJ73</f>
        <v>-1093.7232736769893</v>
      </c>
      <c r="BK81" s="224">
        <f t="shared" ref="BK81:BL81" si="244">BK72+BK73</f>
        <v>-883.59530447758971</v>
      </c>
      <c r="BL81" s="224">
        <f t="shared" si="244"/>
        <v>-870.11664457675215</v>
      </c>
    </row>
    <row r="82" spans="2:64" x14ac:dyDescent="0.25">
      <c r="B82" s="1" t="s">
        <v>149</v>
      </c>
      <c r="C82" s="200">
        <v>70000</v>
      </c>
      <c r="D82" s="1"/>
      <c r="E82" t="s">
        <v>150</v>
      </c>
      <c r="BJ82" s="192">
        <f>BJ32/12000*BJ33*12/BJ34</f>
        <v>7985.8873310185245</v>
      </c>
    </row>
    <row r="83" spans="2:64" x14ac:dyDescent="0.25">
      <c r="B83" s="1" t="s">
        <v>153</v>
      </c>
      <c r="C83" s="203">
        <v>0.8</v>
      </c>
      <c r="D83" s="1"/>
      <c r="E83" s="10" t="s">
        <v>159</v>
      </c>
      <c r="U83" s="76"/>
      <c r="V83" s="76"/>
      <c r="W83" s="76"/>
      <c r="X83" s="76"/>
      <c r="Y83" s="76"/>
    </row>
    <row r="84" spans="2:64" x14ac:dyDescent="0.25">
      <c r="B84" s="163" t="s">
        <v>154</v>
      </c>
      <c r="C84" s="204">
        <v>0.84</v>
      </c>
      <c r="D84" s="1"/>
      <c r="E84" s="10" t="s">
        <v>159</v>
      </c>
      <c r="U84" s="76"/>
      <c r="V84" s="76"/>
      <c r="W84" s="76"/>
      <c r="X84" s="76"/>
      <c r="Y84" s="76"/>
    </row>
    <row r="85" spans="2:64" x14ac:dyDescent="0.25">
      <c r="B85" s="162" t="s">
        <v>155</v>
      </c>
      <c r="C85" s="205">
        <v>0.75</v>
      </c>
      <c r="D85" s="1" t="s">
        <v>160</v>
      </c>
      <c r="E85" s="10" t="s">
        <v>159</v>
      </c>
      <c r="L85" t="s">
        <v>79</v>
      </c>
      <c r="U85" s="76"/>
      <c r="V85" s="76"/>
      <c r="W85" s="76"/>
      <c r="X85" s="76"/>
      <c r="Y85" s="76"/>
    </row>
    <row r="86" spans="2:64" x14ac:dyDescent="0.25">
      <c r="B86" s="163" t="s">
        <v>156</v>
      </c>
      <c r="C86" s="202">
        <v>14</v>
      </c>
      <c r="D86" s="1" t="s">
        <v>161</v>
      </c>
      <c r="E86" s="10" t="s">
        <v>159</v>
      </c>
      <c r="L86" t="s">
        <v>81</v>
      </c>
      <c r="U86" s="76"/>
      <c r="V86" s="76"/>
      <c r="W86" s="76"/>
      <c r="X86" s="76"/>
      <c r="Y86" s="76"/>
    </row>
    <row r="87" spans="2:64" x14ac:dyDescent="0.25">
      <c r="B87" s="163" t="s">
        <v>157</v>
      </c>
      <c r="C87" s="164">
        <v>1</v>
      </c>
      <c r="D87" s="1" t="s">
        <v>158</v>
      </c>
      <c r="E87" s="10" t="s">
        <v>159</v>
      </c>
      <c r="L87" t="s">
        <v>83</v>
      </c>
      <c r="U87" s="76"/>
      <c r="V87" s="76"/>
      <c r="W87" s="76"/>
      <c r="X87" s="76"/>
      <c r="Y87" s="76"/>
    </row>
    <row r="88" spans="2:64" x14ac:dyDescent="0.25">
      <c r="B88" s="167" t="s">
        <v>123</v>
      </c>
      <c r="C88" s="161">
        <v>11</v>
      </c>
      <c r="D88" s="1" t="s">
        <v>124</v>
      </c>
      <c r="E88" s="10" t="s">
        <v>125</v>
      </c>
      <c r="L88" t="s">
        <v>85</v>
      </c>
      <c r="W88" s="76"/>
      <c r="X88" s="76"/>
      <c r="Y88" s="78"/>
    </row>
    <row r="89" spans="2:64" x14ac:dyDescent="0.25">
      <c r="B89" s="168"/>
      <c r="C89" s="206">
        <f>ROUNDUP(C88/10.32,2)</f>
        <v>1.07</v>
      </c>
      <c r="D89" s="1" t="s">
        <v>126</v>
      </c>
      <c r="L89" t="s">
        <v>87</v>
      </c>
      <c r="W89" s="79"/>
      <c r="X89" s="79"/>
      <c r="Y89" s="76"/>
    </row>
    <row r="90" spans="2:64" x14ac:dyDescent="0.25">
      <c r="B90" s="1" t="s">
        <v>127</v>
      </c>
      <c r="C90" s="207">
        <v>0.13</v>
      </c>
      <c r="D90" s="1" t="s">
        <v>128</v>
      </c>
      <c r="E90" t="s">
        <v>129</v>
      </c>
      <c r="L90" t="s">
        <v>89</v>
      </c>
      <c r="W90" s="78"/>
      <c r="X90" s="78"/>
      <c r="Y90" s="76"/>
    </row>
    <row r="91" spans="2:64" x14ac:dyDescent="0.25">
      <c r="B91" s="171" t="s">
        <v>166</v>
      </c>
      <c r="C91" s="172">
        <v>2.2000000000000002</v>
      </c>
      <c r="D91" s="171" t="s">
        <v>168</v>
      </c>
      <c r="E91" s="10" t="s">
        <v>167</v>
      </c>
      <c r="L91" t="s">
        <v>85</v>
      </c>
      <c r="W91" s="78"/>
      <c r="X91" s="78"/>
      <c r="Y91" s="76"/>
    </row>
    <row r="92" spans="2:64" x14ac:dyDescent="0.25">
      <c r="B92" s="168"/>
      <c r="C92" s="208">
        <f>ROUNDUP(C91/0.91542,2)</f>
        <v>2.4099999999999997</v>
      </c>
      <c r="D92" s="162" t="s">
        <v>126</v>
      </c>
      <c r="L92" t="s">
        <v>87</v>
      </c>
      <c r="W92" s="78"/>
      <c r="X92" s="78"/>
      <c r="Y92" s="76"/>
    </row>
    <row r="93" spans="2:64" x14ac:dyDescent="0.25">
      <c r="B93" s="171" t="s">
        <v>169</v>
      </c>
      <c r="C93" s="173">
        <v>250</v>
      </c>
      <c r="D93" s="81" t="s">
        <v>170</v>
      </c>
      <c r="E93" s="10" t="s">
        <v>171</v>
      </c>
      <c r="L93" t="s">
        <v>93</v>
      </c>
      <c r="W93" s="78"/>
      <c r="X93" s="78"/>
      <c r="Y93" s="76"/>
    </row>
    <row r="94" spans="2:64" x14ac:dyDescent="0.25">
      <c r="B94" s="168"/>
      <c r="C94" s="209">
        <f>ROUNDUP(C93/16500000*100000,2)</f>
        <v>1.52</v>
      </c>
      <c r="D94" s="162" t="s">
        <v>126</v>
      </c>
      <c r="E94" s="10"/>
      <c r="W94" s="78"/>
      <c r="X94" s="78"/>
      <c r="Y94" s="76"/>
    </row>
    <row r="95" spans="2:64" x14ac:dyDescent="0.25">
      <c r="B95" s="171" t="s">
        <v>191</v>
      </c>
      <c r="C95" s="182">
        <v>4.5990000000000002</v>
      </c>
      <c r="D95" s="81" t="s">
        <v>168</v>
      </c>
      <c r="E95" t="s">
        <v>190</v>
      </c>
      <c r="W95" s="78"/>
      <c r="X95" s="78"/>
      <c r="Y95" s="76"/>
    </row>
    <row r="96" spans="2:64" x14ac:dyDescent="0.25">
      <c r="B96" s="168"/>
      <c r="C96" s="210">
        <f>ROUNDUP(C91/1.35,2)</f>
        <v>1.6300000000000001</v>
      </c>
      <c r="D96" s="81" t="s">
        <v>126</v>
      </c>
      <c r="W96" s="80"/>
      <c r="X96" s="80"/>
      <c r="Y96" s="76"/>
    </row>
    <row r="97" spans="2:25" ht="30" x14ac:dyDescent="0.25">
      <c r="B97" s="33" t="s">
        <v>24</v>
      </c>
      <c r="C97" s="56">
        <f>ROUNDUP(986.63/1000/2204.62,6)</f>
        <v>4.4800000000000005E-4</v>
      </c>
      <c r="D97" s="31" t="s">
        <v>162</v>
      </c>
      <c r="E97" s="165">
        <f>C97*293.07</f>
        <v>0.13129536</v>
      </c>
      <c r="F97" s="180" t="s">
        <v>25</v>
      </c>
      <c r="H97" s="309">
        <f>C97*2000</f>
        <v>0.89600000000000013</v>
      </c>
      <c r="W97" s="80"/>
      <c r="X97" s="80"/>
      <c r="Y97" s="76"/>
    </row>
    <row r="98" spans="2:25" ht="30" x14ac:dyDescent="0.25">
      <c r="B98" s="33" t="s">
        <v>26</v>
      </c>
      <c r="C98" s="57">
        <f>53.11/1000/10</f>
        <v>5.3109999999999997E-3</v>
      </c>
      <c r="D98" s="31" t="s">
        <v>163</v>
      </c>
      <c r="E98" s="166">
        <f>C98*10</f>
        <v>5.3109999999999997E-2</v>
      </c>
      <c r="F98" s="180" t="s">
        <v>25</v>
      </c>
      <c r="H98" s="309">
        <f>C98*2000</f>
        <v>10.622</v>
      </c>
      <c r="W98" s="80"/>
      <c r="X98" s="80"/>
      <c r="Y98" s="76"/>
    </row>
    <row r="99" spans="2:25" ht="30" x14ac:dyDescent="0.25">
      <c r="B99" s="33" t="s">
        <v>176</v>
      </c>
      <c r="C99" s="57">
        <v>6.3109999999999998E-3</v>
      </c>
      <c r="D99" s="31" t="s">
        <v>163</v>
      </c>
      <c r="E99" s="166">
        <f t="shared" ref="E99:E101" si="245">C99*10</f>
        <v>6.3109999999999999E-2</v>
      </c>
      <c r="F99" s="180" t="s">
        <v>25</v>
      </c>
      <c r="W99" s="80"/>
      <c r="X99" s="80"/>
      <c r="Y99" s="76"/>
    </row>
    <row r="100" spans="2:25" ht="30" x14ac:dyDescent="0.25">
      <c r="B100" s="33" t="s">
        <v>177</v>
      </c>
      <c r="C100" s="57">
        <v>9.4859999999999996E-3</v>
      </c>
      <c r="D100" s="31" t="s">
        <v>163</v>
      </c>
      <c r="E100" s="166">
        <f t="shared" si="245"/>
        <v>9.486E-2</v>
      </c>
      <c r="F100" s="180" t="s">
        <v>25</v>
      </c>
      <c r="W100" s="80"/>
      <c r="X100" s="80"/>
      <c r="Y100" s="76"/>
    </row>
    <row r="101" spans="2:25" ht="30" x14ac:dyDescent="0.25">
      <c r="B101" s="33" t="s">
        <v>178</v>
      </c>
      <c r="C101" s="57">
        <v>7.5440000000000004E-3</v>
      </c>
      <c r="D101" s="31" t="s">
        <v>163</v>
      </c>
      <c r="E101" s="166">
        <f t="shared" si="245"/>
        <v>7.5440000000000007E-2</v>
      </c>
      <c r="F101" s="180" t="s">
        <v>25</v>
      </c>
      <c r="W101" s="80"/>
      <c r="X101" s="80"/>
      <c r="Y101" s="76"/>
    </row>
    <row r="102" spans="2:25" x14ac:dyDescent="0.25">
      <c r="W102" s="80"/>
      <c r="X102" s="80"/>
      <c r="Y102" s="76"/>
    </row>
    <row r="103" spans="2:25" x14ac:dyDescent="0.25">
      <c r="N103" s="79"/>
      <c r="O103" s="79"/>
      <c r="P103" s="79"/>
      <c r="Q103" s="79"/>
      <c r="R103" s="79"/>
      <c r="S103" s="79"/>
      <c r="W103" s="78"/>
      <c r="X103" s="78"/>
      <c r="Y103" s="76"/>
    </row>
    <row r="104" spans="2:25" x14ac:dyDescent="0.25">
      <c r="B104" s="325" t="s">
        <v>258</v>
      </c>
      <c r="C104" s="326"/>
      <c r="D104" s="326"/>
      <c r="E104" s="326"/>
      <c r="F104" s="326"/>
      <c r="G104" s="326"/>
      <c r="I104" s="325" t="s">
        <v>260</v>
      </c>
      <c r="J104" s="326"/>
      <c r="K104" s="326"/>
      <c r="L104" s="326"/>
      <c r="M104" s="326"/>
      <c r="N104" s="326"/>
      <c r="O104" s="326"/>
      <c r="R104" s="143"/>
      <c r="S104" s="143"/>
      <c r="W104" s="80"/>
      <c r="X104" s="80"/>
      <c r="Y104" s="76"/>
    </row>
    <row r="105" spans="2:25" x14ac:dyDescent="0.25">
      <c r="B105" s="188"/>
      <c r="C105" s="190" t="s">
        <v>197</v>
      </c>
      <c r="D105" s="188"/>
      <c r="E105" s="190" t="s">
        <v>46</v>
      </c>
      <c r="F105" s="190" t="s">
        <v>47</v>
      </c>
      <c r="G105" s="190" t="s">
        <v>48</v>
      </c>
      <c r="I105" s="188"/>
      <c r="J105" s="188"/>
      <c r="K105" s="190" t="s">
        <v>197</v>
      </c>
      <c r="L105" s="188"/>
      <c r="M105" s="190" t="s">
        <v>46</v>
      </c>
      <c r="N105" s="190" t="s">
        <v>47</v>
      </c>
      <c r="O105" s="190" t="s">
        <v>48</v>
      </c>
      <c r="R105" s="278"/>
      <c r="S105" s="278"/>
      <c r="W105" s="80"/>
      <c r="X105" s="80"/>
      <c r="Y105" s="76"/>
    </row>
    <row r="106" spans="2:25" x14ac:dyDescent="0.25">
      <c r="B106" t="str">
        <f>V28</f>
        <v>Gas Furnace Baseline</v>
      </c>
      <c r="C106" t="s">
        <v>198</v>
      </c>
      <c r="D106" t="s">
        <v>200</v>
      </c>
      <c r="E106" s="186">
        <f>-1*(V72/10)</f>
        <v>32.839956615300238</v>
      </c>
      <c r="F106" s="186">
        <f>-1*(W72/10)</f>
        <v>32.592264594078941</v>
      </c>
      <c r="G106" s="186">
        <f>-1*(X72/10)</f>
        <v>37.42490076862255</v>
      </c>
      <c r="I106" t="str">
        <f>B106</f>
        <v>Gas Furnace Baseline</v>
      </c>
      <c r="K106" t="s">
        <v>198</v>
      </c>
      <c r="L106" t="s">
        <v>270</v>
      </c>
      <c r="M106" s="170">
        <f t="shared" ref="M106:O108" si="246">-1*V78</f>
        <v>1.7441300958385959</v>
      </c>
      <c r="N106" s="170">
        <f t="shared" si="246"/>
        <v>1.7309751725915321</v>
      </c>
      <c r="O106" s="170">
        <f t="shared" si="246"/>
        <v>1.9876364798215436</v>
      </c>
      <c r="R106" s="170"/>
      <c r="S106" s="170"/>
      <c r="W106" s="80"/>
      <c r="X106" s="80"/>
      <c r="Y106" s="76"/>
    </row>
    <row r="107" spans="2:25" x14ac:dyDescent="0.25">
      <c r="B107" s="169"/>
      <c r="C107" s="169" t="s">
        <v>199</v>
      </c>
      <c r="D107" s="169" t="s">
        <v>201</v>
      </c>
      <c r="E107" s="187">
        <f t="shared" ref="E107:G108" si="247">-1*V73</f>
        <v>-2613.0606631229675</v>
      </c>
      <c r="F107" s="187">
        <f t="shared" si="247"/>
        <v>-2643.1064435233584</v>
      </c>
      <c r="G107" s="187">
        <f t="shared" si="247"/>
        <v>-3058.0653551965652</v>
      </c>
      <c r="I107" s="169"/>
      <c r="K107" s="169" t="s">
        <v>199</v>
      </c>
      <c r="L107" s="169" t="s">
        <v>261</v>
      </c>
      <c r="M107" s="170">
        <f t="shared" si="246"/>
        <v>-1.1706511770790895</v>
      </c>
      <c r="N107" s="170">
        <f t="shared" si="246"/>
        <v>-1.1841116866984647</v>
      </c>
      <c r="O107" s="170">
        <f t="shared" si="246"/>
        <v>-1.3700132791280613</v>
      </c>
      <c r="R107" s="170"/>
      <c r="S107" s="170"/>
      <c r="W107" s="78"/>
      <c r="X107" s="78"/>
      <c r="Y107" s="76"/>
    </row>
    <row r="108" spans="2:25" x14ac:dyDescent="0.25">
      <c r="B108" s="188"/>
      <c r="C108" s="188" t="s">
        <v>203</v>
      </c>
      <c r="D108" s="188" t="s">
        <v>202</v>
      </c>
      <c r="E108" s="189">
        <f t="shared" si="247"/>
        <v>23.924193632724673</v>
      </c>
      <c r="F108" s="189">
        <f t="shared" si="247"/>
        <v>23.57398540877724</v>
      </c>
      <c r="G108" s="189">
        <f t="shared" si="247"/>
        <v>26.990781776691868</v>
      </c>
      <c r="I108" s="188"/>
      <c r="J108" s="188"/>
      <c r="K108" s="188" t="s">
        <v>203</v>
      </c>
      <c r="L108" s="188" t="s">
        <v>262</v>
      </c>
      <c r="M108" s="245">
        <f t="shared" si="246"/>
        <v>0.57347891875950641</v>
      </c>
      <c r="N108" s="245">
        <f t="shared" si="246"/>
        <v>0.54686348589306744</v>
      </c>
      <c r="O108" s="245">
        <f t="shared" si="246"/>
        <v>0.61762320069348231</v>
      </c>
      <c r="R108" s="170"/>
      <c r="S108" s="170"/>
      <c r="W108" s="78"/>
      <c r="X108" s="78"/>
      <c r="Y108" s="76"/>
    </row>
    <row r="109" spans="2:25" x14ac:dyDescent="0.25">
      <c r="B109" t="str">
        <f>AA28</f>
        <v>Gas Boiler Baseline</v>
      </c>
      <c r="C109" t="s">
        <v>198</v>
      </c>
      <c r="D109" t="s">
        <v>200</v>
      </c>
      <c r="E109" s="186">
        <f>-1*(AA72/10)</f>
        <v>31.276149157428801</v>
      </c>
      <c r="F109" s="186">
        <f>-1*(AB72/10)</f>
        <v>31.040251994360894</v>
      </c>
      <c r="G109" s="186">
        <f>-1*(AC72/10)</f>
        <v>35.642762636783381</v>
      </c>
      <c r="I109" t="str">
        <f>B109</f>
        <v>Gas Boiler Baseline</v>
      </c>
      <c r="K109" t="s">
        <v>198</v>
      </c>
      <c r="L109" t="s">
        <v>270</v>
      </c>
      <c r="M109" s="170">
        <f t="shared" ref="M109:O111" si="248">-1*AA78</f>
        <v>1.6610762817510434</v>
      </c>
      <c r="N109" s="170">
        <f t="shared" si="248"/>
        <v>1.6485477834205065</v>
      </c>
      <c r="O109" s="170">
        <f t="shared" si="248"/>
        <v>1.892987123639565</v>
      </c>
      <c r="R109" s="170"/>
      <c r="S109" s="170"/>
      <c r="W109" s="78"/>
      <c r="X109" s="78"/>
      <c r="Y109" s="76"/>
    </row>
    <row r="110" spans="2:25" x14ac:dyDescent="0.25">
      <c r="C110" t="s">
        <v>199</v>
      </c>
      <c r="D110" t="s">
        <v>201</v>
      </c>
      <c r="E110" s="186">
        <f t="shared" ref="E110:G111" si="249">-1*AA73</f>
        <v>-2915.9801262279293</v>
      </c>
      <c r="F110" s="186">
        <f t="shared" si="249"/>
        <v>-2942.837198321628</v>
      </c>
      <c r="G110" s="186">
        <f t="shared" si="249"/>
        <v>-3402.2630204699167</v>
      </c>
      <c r="K110" t="s">
        <v>199</v>
      </c>
      <c r="L110" s="169" t="s">
        <v>261</v>
      </c>
      <c r="M110" s="170">
        <f t="shared" si="248"/>
        <v>-1.3063590965501124</v>
      </c>
      <c r="N110" s="170">
        <f t="shared" si="248"/>
        <v>-1.3183910648480894</v>
      </c>
      <c r="O110" s="170">
        <f t="shared" si="248"/>
        <v>-1.5242138331705228</v>
      </c>
      <c r="R110" s="170"/>
      <c r="S110" s="170"/>
      <c r="W110" s="76"/>
      <c r="X110" s="76"/>
      <c r="Y110" s="76"/>
    </row>
    <row r="111" spans="2:25" x14ac:dyDescent="0.25">
      <c r="B111" s="188"/>
      <c r="C111" s="188" t="s">
        <v>203</v>
      </c>
      <c r="D111" s="188" t="s">
        <v>202</v>
      </c>
      <c r="E111" s="189">
        <f t="shared" si="249"/>
        <v>21.326824966739103</v>
      </c>
      <c r="F111" s="189">
        <f t="shared" si="249"/>
        <v>20.999291473687499</v>
      </c>
      <c r="G111" s="189">
        <f t="shared" si="249"/>
        <v>24.034241210940024</v>
      </c>
      <c r="I111" s="188"/>
      <c r="J111" s="188"/>
      <c r="K111" s="188" t="s">
        <v>203</v>
      </c>
      <c r="L111" s="188" t="s">
        <v>262</v>
      </c>
      <c r="M111" s="245">
        <f t="shared" si="248"/>
        <v>0.35471718520093098</v>
      </c>
      <c r="N111" s="245">
        <f t="shared" si="248"/>
        <v>0.33015671857241702</v>
      </c>
      <c r="O111" s="245">
        <f t="shared" si="248"/>
        <v>0.36877329046904217</v>
      </c>
      <c r="R111" s="170"/>
      <c r="S111" s="170"/>
    </row>
    <row r="112" spans="2:25" x14ac:dyDescent="0.25">
      <c r="B112" t="str">
        <f>AF28</f>
        <v>Propane Furnace Baseline</v>
      </c>
      <c r="C112" t="s">
        <v>204</v>
      </c>
      <c r="D112" t="s">
        <v>200</v>
      </c>
      <c r="E112" s="186">
        <f>-1*(AF72/10)</f>
        <v>32.839956615300238</v>
      </c>
      <c r="F112" s="186">
        <f>-1*(AG72/10)</f>
        <v>32.592264594078941</v>
      </c>
      <c r="G112" s="186">
        <f>-1*(AH72/10)</f>
        <v>37.42490076862255</v>
      </c>
      <c r="I112" t="str">
        <f>B112</f>
        <v>Propane Furnace Baseline</v>
      </c>
      <c r="K112" t="s">
        <v>204</v>
      </c>
      <c r="L112" t="s">
        <v>270</v>
      </c>
      <c r="M112" s="170">
        <f t="shared" ref="M112:O114" si="250">-1*AF78</f>
        <v>2.0725296619915978</v>
      </c>
      <c r="N112" s="170">
        <f t="shared" si="250"/>
        <v>2.0568978185323221</v>
      </c>
      <c r="O112" s="170">
        <f t="shared" si="250"/>
        <v>2.3618854875077693</v>
      </c>
      <c r="R112" s="170"/>
      <c r="S112" s="170"/>
    </row>
    <row r="113" spans="2:19" x14ac:dyDescent="0.25">
      <c r="B113" s="169"/>
      <c r="C113" s="169" t="s">
        <v>199</v>
      </c>
      <c r="D113" s="169" t="s">
        <v>201</v>
      </c>
      <c r="E113" s="187">
        <f t="shared" ref="E113:G114" si="251">-1*AF73</f>
        <v>-2613.9939823802988</v>
      </c>
      <c r="F113" s="187">
        <f t="shared" si="251"/>
        <v>-2643.1064435233584</v>
      </c>
      <c r="G113" s="187">
        <f t="shared" si="251"/>
        <v>-3058.0653551965652</v>
      </c>
      <c r="I113" s="169"/>
      <c r="K113" s="169" t="s">
        <v>199</v>
      </c>
      <c r="L113" s="169" t="s">
        <v>261</v>
      </c>
      <c r="M113" s="170">
        <f t="shared" si="250"/>
        <v>-1.171069304106374</v>
      </c>
      <c r="N113" s="170">
        <f t="shared" si="250"/>
        <v>-1.1841116866984647</v>
      </c>
      <c r="O113" s="170">
        <f t="shared" si="250"/>
        <v>-1.3700132791280613</v>
      </c>
      <c r="R113" s="170"/>
      <c r="S113" s="170"/>
    </row>
    <row r="114" spans="2:19" x14ac:dyDescent="0.25">
      <c r="B114" s="188"/>
      <c r="C114" s="188" t="s">
        <v>203</v>
      </c>
      <c r="D114" s="188" t="s">
        <v>202</v>
      </c>
      <c r="E114" s="189">
        <f t="shared" si="251"/>
        <v>23.921009147418658</v>
      </c>
      <c r="F114" s="189">
        <f t="shared" si="251"/>
        <v>23.57398540877724</v>
      </c>
      <c r="G114" s="189">
        <f t="shared" si="251"/>
        <v>26.990781776691868</v>
      </c>
      <c r="I114" s="188"/>
      <c r="J114" s="188"/>
      <c r="K114" s="188" t="s">
        <v>203</v>
      </c>
      <c r="L114" s="188" t="s">
        <v>262</v>
      </c>
      <c r="M114" s="245">
        <f t="shared" si="250"/>
        <v>0.90146035788522383</v>
      </c>
      <c r="N114" s="245">
        <f t="shared" si="250"/>
        <v>0.87278613183385745</v>
      </c>
      <c r="O114" s="245">
        <f t="shared" si="250"/>
        <v>0.99187220837970802</v>
      </c>
      <c r="R114" s="170"/>
      <c r="S114" s="170"/>
    </row>
    <row r="115" spans="2:19" x14ac:dyDescent="0.25">
      <c r="B115" t="str">
        <f>AK28</f>
        <v>Propane Boiler Baseline</v>
      </c>
      <c r="C115" t="s">
        <v>204</v>
      </c>
      <c r="D115" t="s">
        <v>200</v>
      </c>
      <c r="E115" s="186">
        <f>-1*(AK72/10)</f>
        <v>31.276149157428801</v>
      </c>
      <c r="F115" s="186">
        <f>-1*(AL72/10)</f>
        <v>31.040251994360894</v>
      </c>
      <c r="G115" s="186">
        <f>-1*(AM72/10)</f>
        <v>35.642762636783381</v>
      </c>
      <c r="I115" t="str">
        <f>B115</f>
        <v>Propane Boiler Baseline</v>
      </c>
      <c r="K115" t="s">
        <v>204</v>
      </c>
      <c r="L115" t="s">
        <v>270</v>
      </c>
      <c r="M115" s="170">
        <f t="shared" ref="M115:O117" si="252">-1*AK78</f>
        <v>1.9738377733253314</v>
      </c>
      <c r="N115" s="170">
        <f t="shared" si="252"/>
        <v>1.9589503033641162</v>
      </c>
      <c r="O115" s="170">
        <f t="shared" si="252"/>
        <v>2.2494147500073991</v>
      </c>
      <c r="R115" s="170"/>
      <c r="S115" s="170"/>
    </row>
    <row r="116" spans="2:19" x14ac:dyDescent="0.25">
      <c r="C116" t="s">
        <v>199</v>
      </c>
      <c r="D116" t="s">
        <v>201</v>
      </c>
      <c r="E116" s="186">
        <f t="shared" ref="E116:G117" si="253">-1*AK73</f>
        <v>-2915.9801262279293</v>
      </c>
      <c r="F116" s="186">
        <f t="shared" si="253"/>
        <v>-2942.837198321628</v>
      </c>
      <c r="G116" s="186">
        <f t="shared" si="253"/>
        <v>-3402.2630204699167</v>
      </c>
      <c r="K116" t="s">
        <v>199</v>
      </c>
      <c r="L116" s="169" t="s">
        <v>261</v>
      </c>
      <c r="M116" s="170">
        <f t="shared" si="252"/>
        <v>-1.3063590965501124</v>
      </c>
      <c r="N116" s="170">
        <f t="shared" si="252"/>
        <v>-1.3183910648480894</v>
      </c>
      <c r="O116" s="170">
        <f t="shared" si="252"/>
        <v>-1.5242138331705228</v>
      </c>
      <c r="R116" s="170"/>
      <c r="S116" s="170"/>
    </row>
    <row r="117" spans="2:19" x14ac:dyDescent="0.25">
      <c r="B117" s="188"/>
      <c r="C117" s="188" t="s">
        <v>203</v>
      </c>
      <c r="D117" s="188" t="s">
        <v>202</v>
      </c>
      <c r="E117" s="189">
        <f t="shared" si="253"/>
        <v>21.326824966739103</v>
      </c>
      <c r="F117" s="189">
        <f t="shared" si="253"/>
        <v>20.999291473687499</v>
      </c>
      <c r="G117" s="189">
        <f t="shared" si="253"/>
        <v>24.034241210940024</v>
      </c>
      <c r="I117" s="188"/>
      <c r="J117" s="188"/>
      <c r="K117" s="188" t="s">
        <v>203</v>
      </c>
      <c r="L117" s="188" t="s">
        <v>262</v>
      </c>
      <c r="M117" s="245">
        <f t="shared" si="252"/>
        <v>0.66747867677521899</v>
      </c>
      <c r="N117" s="245">
        <f t="shared" si="252"/>
        <v>0.64055923851602681</v>
      </c>
      <c r="O117" s="245">
        <f t="shared" si="252"/>
        <v>0.72520091683687626</v>
      </c>
      <c r="R117" s="170"/>
      <c r="S117" s="170"/>
    </row>
    <row r="118" spans="2:19" x14ac:dyDescent="0.25">
      <c r="B118" t="str">
        <f>AP28</f>
        <v>Fuel Oil Furnace Baseline</v>
      </c>
      <c r="C118" t="s">
        <v>205</v>
      </c>
      <c r="D118" t="s">
        <v>200</v>
      </c>
      <c r="E118" s="186">
        <f>-1*(AP72/10)</f>
        <v>32.839956615300238</v>
      </c>
      <c r="F118" s="186">
        <f>-1*(AQ72/10)</f>
        <v>32.592264594078941</v>
      </c>
      <c r="G118" s="186">
        <f>-1*(AR72/10)</f>
        <v>37.42490076862255</v>
      </c>
      <c r="I118" t="str">
        <f>B118</f>
        <v>Fuel Oil Furnace Baseline</v>
      </c>
      <c r="K118" t="s">
        <v>205</v>
      </c>
      <c r="L118" t="s">
        <v>270</v>
      </c>
      <c r="M118" s="170">
        <f t="shared" ref="M118:O120" si="254">-1*AP78</f>
        <v>2.4774463270582503</v>
      </c>
      <c r="N118" s="170">
        <f t="shared" si="254"/>
        <v>2.4587604409773158</v>
      </c>
      <c r="O118" s="170">
        <f t="shared" si="254"/>
        <v>2.8233345139848849</v>
      </c>
      <c r="R118" s="170"/>
      <c r="S118" s="170"/>
    </row>
    <row r="119" spans="2:19" x14ac:dyDescent="0.25">
      <c r="B119" s="169"/>
      <c r="C119" s="169" t="s">
        <v>199</v>
      </c>
      <c r="D119" s="169" t="s">
        <v>201</v>
      </c>
      <c r="E119" s="187">
        <f t="shared" ref="E119:G120" si="255">-1*AP73</f>
        <v>-2613.8459573758441</v>
      </c>
      <c r="F119" s="187">
        <f t="shared" si="255"/>
        <v>-2642.981845603183</v>
      </c>
      <c r="G119" s="187">
        <f t="shared" si="255"/>
        <v>-3057.9464484184355</v>
      </c>
      <c r="I119" s="169"/>
      <c r="K119" s="169" t="s">
        <v>199</v>
      </c>
      <c r="L119" s="169" t="s">
        <v>261</v>
      </c>
      <c r="M119" s="170">
        <f t="shared" si="254"/>
        <v>-1.1710029889043785</v>
      </c>
      <c r="N119" s="170">
        <f t="shared" si="254"/>
        <v>-1.1840558668302261</v>
      </c>
      <c r="O119" s="170">
        <f t="shared" si="254"/>
        <v>-1.3699600088914592</v>
      </c>
      <c r="R119" s="170"/>
      <c r="S119" s="170"/>
    </row>
    <row r="120" spans="2:19" x14ac:dyDescent="0.25">
      <c r="B120" s="188"/>
      <c r="C120" s="188" t="s">
        <v>203</v>
      </c>
      <c r="D120" s="188" t="s">
        <v>202</v>
      </c>
      <c r="E120" s="189">
        <f t="shared" si="255"/>
        <v>23.921514208733857</v>
      </c>
      <c r="F120" s="189">
        <f t="shared" si="255"/>
        <v>23.57441053688088</v>
      </c>
      <c r="G120" s="189">
        <f t="shared" si="255"/>
        <v>26.991187486618848</v>
      </c>
      <c r="I120" s="188"/>
      <c r="J120" s="188"/>
      <c r="K120" s="188" t="s">
        <v>203</v>
      </c>
      <c r="L120" s="188" t="s">
        <v>262</v>
      </c>
      <c r="M120" s="245">
        <f t="shared" si="254"/>
        <v>1.3064433381538718</v>
      </c>
      <c r="N120" s="245">
        <f t="shared" si="254"/>
        <v>1.2747045741470897</v>
      </c>
      <c r="O120" s="245">
        <f t="shared" si="254"/>
        <v>1.4533745050934257</v>
      </c>
      <c r="R120" s="170"/>
      <c r="S120" s="170"/>
    </row>
    <row r="121" spans="2:19" x14ac:dyDescent="0.25">
      <c r="B121" t="str">
        <f>AU28</f>
        <v>Fuel Oil Boiler Baseline</v>
      </c>
      <c r="C121" t="s">
        <v>205</v>
      </c>
      <c r="D121" t="s">
        <v>200</v>
      </c>
      <c r="E121" s="186">
        <f>-1*(AU72/10)</f>
        <v>31.276149157428801</v>
      </c>
      <c r="F121" s="186">
        <f>-1*(AV72/10)</f>
        <v>31.040251994360894</v>
      </c>
      <c r="G121" s="186">
        <f>-1*(AW72/10)</f>
        <v>35.642762636783381</v>
      </c>
      <c r="I121" t="str">
        <f>B121</f>
        <v>Fuel Oil Boiler Baseline</v>
      </c>
      <c r="K121" t="s">
        <v>205</v>
      </c>
      <c r="L121" t="s">
        <v>270</v>
      </c>
      <c r="M121" s="170">
        <f t="shared" ref="M121:O123" si="256">-1*AU78</f>
        <v>2.3594726924364284</v>
      </c>
      <c r="N121" s="170">
        <f t="shared" si="256"/>
        <v>2.3416766104545852</v>
      </c>
      <c r="O121" s="170">
        <f t="shared" si="256"/>
        <v>2.6888900133189386</v>
      </c>
      <c r="R121" s="170"/>
      <c r="S121" s="170"/>
    </row>
    <row r="122" spans="2:19" x14ac:dyDescent="0.25">
      <c r="B122" s="169"/>
      <c r="C122" s="169" t="s">
        <v>199</v>
      </c>
      <c r="D122" s="169" t="s">
        <v>201</v>
      </c>
      <c r="E122" s="187">
        <f t="shared" ref="E122:G123" si="257">-1*AU73</f>
        <v>-2915.9801262279293</v>
      </c>
      <c r="F122" s="187">
        <f t="shared" si="257"/>
        <v>-2942.837198321628</v>
      </c>
      <c r="G122" s="187">
        <f t="shared" si="257"/>
        <v>-3402.2630204699167</v>
      </c>
      <c r="I122" s="169"/>
      <c r="K122" s="169" t="s">
        <v>199</v>
      </c>
      <c r="L122" s="169" t="s">
        <v>261</v>
      </c>
      <c r="M122" s="170">
        <f t="shared" si="256"/>
        <v>-1.3063590965501124</v>
      </c>
      <c r="N122" s="170">
        <f t="shared" si="256"/>
        <v>-1.3183910648480894</v>
      </c>
      <c r="O122" s="170">
        <f t="shared" si="256"/>
        <v>-1.5242138331705228</v>
      </c>
      <c r="R122" s="170"/>
      <c r="S122" s="170"/>
    </row>
    <row r="123" spans="2:19" x14ac:dyDescent="0.25">
      <c r="B123" s="188"/>
      <c r="C123" s="188" t="s">
        <v>203</v>
      </c>
      <c r="D123" s="188" t="s">
        <v>202</v>
      </c>
      <c r="E123" s="189">
        <f t="shared" si="257"/>
        <v>21.326824966739103</v>
      </c>
      <c r="F123" s="189">
        <f t="shared" si="257"/>
        <v>20.999291473687499</v>
      </c>
      <c r="G123" s="189">
        <f t="shared" si="257"/>
        <v>24.034241210940024</v>
      </c>
      <c r="I123" s="188"/>
      <c r="J123" s="188"/>
      <c r="K123" s="188" t="s">
        <v>203</v>
      </c>
      <c r="L123" s="188" t="s">
        <v>262</v>
      </c>
      <c r="M123" s="245">
        <f t="shared" si="256"/>
        <v>1.053113595886316</v>
      </c>
      <c r="N123" s="245">
        <f t="shared" si="256"/>
        <v>1.0232855456064958</v>
      </c>
      <c r="O123" s="245">
        <f t="shared" si="256"/>
        <v>1.1646761801484158</v>
      </c>
      <c r="R123" s="170"/>
      <c r="S123" s="170"/>
    </row>
    <row r="124" spans="2:19" x14ac:dyDescent="0.25">
      <c r="B124" t="str">
        <f>AZ28</f>
        <v>Wood Pellet Stove</v>
      </c>
      <c r="C124" t="s">
        <v>206</v>
      </c>
      <c r="D124" t="s">
        <v>200</v>
      </c>
      <c r="E124" s="186">
        <f>-1*(AZ72/10)</f>
        <v>35.029287056320243</v>
      </c>
      <c r="F124" s="186">
        <f>-1*(BA72/10)</f>
        <v>34.765082233684197</v>
      </c>
      <c r="G124" s="186">
        <f>-1*(BB72/10)</f>
        <v>39.919894153197376</v>
      </c>
      <c r="I124" t="str">
        <f>B124</f>
        <v>Wood Pellet Stove</v>
      </c>
      <c r="K124" t="s">
        <v>206</v>
      </c>
      <c r="L124" t="s">
        <v>270</v>
      </c>
      <c r="M124" s="170">
        <f t="shared" ref="M124:O126" si="258">-1*AZ78</f>
        <v>3.3228781701625376</v>
      </c>
      <c r="N124" s="170">
        <f t="shared" si="258"/>
        <v>3.2978157006872824</v>
      </c>
      <c r="O124" s="170">
        <f t="shared" si="258"/>
        <v>3.7868011593723025</v>
      </c>
      <c r="R124" s="170"/>
      <c r="S124" s="170"/>
    </row>
    <row r="125" spans="2:19" x14ac:dyDescent="0.25">
      <c r="C125" t="s">
        <v>199</v>
      </c>
      <c r="D125" t="s">
        <v>201</v>
      </c>
      <c r="E125" s="186">
        <f t="shared" ref="E125:G126" si="259">-1*AZ73</f>
        <v>-2915.9801262279293</v>
      </c>
      <c r="F125" s="186">
        <f t="shared" si="259"/>
        <v>-2942.837198321628</v>
      </c>
      <c r="G125" s="186">
        <f t="shared" si="259"/>
        <v>-3402.2630204699167</v>
      </c>
      <c r="K125" t="s">
        <v>199</v>
      </c>
      <c r="L125" s="169" t="s">
        <v>261</v>
      </c>
      <c r="M125" s="170">
        <f t="shared" si="258"/>
        <v>-1.3063590965501124</v>
      </c>
      <c r="N125" s="170">
        <f t="shared" si="258"/>
        <v>-1.3183910648480894</v>
      </c>
      <c r="O125" s="170">
        <f t="shared" si="258"/>
        <v>-1.5242138331705228</v>
      </c>
      <c r="R125" s="170"/>
      <c r="S125" s="170"/>
    </row>
    <row r="126" spans="2:19" x14ac:dyDescent="0.25">
      <c r="B126" s="188"/>
      <c r="C126" s="188" t="s">
        <v>203</v>
      </c>
      <c r="D126" s="188" t="s">
        <v>202</v>
      </c>
      <c r="E126" s="189">
        <f t="shared" si="259"/>
        <v>25.079962865630549</v>
      </c>
      <c r="F126" s="189">
        <f t="shared" si="259"/>
        <v>24.724121713010803</v>
      </c>
      <c r="G126" s="189">
        <f t="shared" si="259"/>
        <v>28.311372727354019</v>
      </c>
      <c r="I126" s="188"/>
      <c r="J126" s="188"/>
      <c r="K126" s="188" t="s">
        <v>203</v>
      </c>
      <c r="L126" s="188" t="s">
        <v>262</v>
      </c>
      <c r="M126" s="245">
        <f t="shared" si="258"/>
        <v>2.0165190736124252</v>
      </c>
      <c r="N126" s="245">
        <f t="shared" si="258"/>
        <v>1.9794246358391929</v>
      </c>
      <c r="O126" s="245">
        <f t="shared" si="258"/>
        <v>2.2625873262017797</v>
      </c>
      <c r="R126" s="170"/>
      <c r="S126" s="170"/>
    </row>
    <row r="127" spans="2:19" x14ac:dyDescent="0.25">
      <c r="B127" s="172" t="str">
        <f>BE28</f>
        <v>Electric Resistance Heating</v>
      </c>
      <c r="C127" s="172" t="s">
        <v>208</v>
      </c>
      <c r="D127" s="172" t="s">
        <v>207</v>
      </c>
      <c r="E127" s="191">
        <f>-1*BE81</f>
        <v>4783.8924682152665</v>
      </c>
      <c r="F127" s="191">
        <f>-1*BF81</f>
        <v>4698.9598929043841</v>
      </c>
      <c r="G127" s="191">
        <f>-1*BG81</f>
        <v>5372.6257881168494</v>
      </c>
      <c r="I127" s="172" t="str">
        <f>B127</f>
        <v>Electric Resistance Heating</v>
      </c>
      <c r="K127" s="172" t="s">
        <v>208</v>
      </c>
      <c r="L127" s="169" t="s">
        <v>262</v>
      </c>
      <c r="M127" s="246">
        <f>-1*BE80</f>
        <v>2.1431838257604392</v>
      </c>
      <c r="N127" s="246">
        <f>-1*BF80</f>
        <v>2.1051340320211631</v>
      </c>
      <c r="O127" s="246">
        <f>-1*BG80</f>
        <v>2.406936353076349</v>
      </c>
      <c r="R127" s="170"/>
      <c r="S127" s="170"/>
    </row>
    <row r="128" spans="2:19" x14ac:dyDescent="0.25">
      <c r="B128" s="188"/>
      <c r="C128" s="188" t="s">
        <v>208</v>
      </c>
      <c r="D128" s="188" t="s">
        <v>202</v>
      </c>
      <c r="E128" s="189">
        <f>-1*BE74</f>
        <v>16.322641101550488</v>
      </c>
      <c r="F128" s="189">
        <f>-1*BF74</f>
        <v>16.032851154589757</v>
      </c>
      <c r="G128" s="189">
        <f>-1*BG74</f>
        <v>18.331399189054689</v>
      </c>
      <c r="I128" s="188"/>
      <c r="J128" s="188"/>
      <c r="K128" s="188" t="s">
        <v>208</v>
      </c>
      <c r="L128" s="188"/>
      <c r="M128" s="245"/>
      <c r="N128" s="245"/>
      <c r="O128" s="245"/>
      <c r="R128" s="170"/>
      <c r="S128" s="170"/>
    </row>
    <row r="129" spans="2:15" x14ac:dyDescent="0.25">
      <c r="B129" s="169" t="s">
        <v>214</v>
      </c>
      <c r="C129" s="172" t="s">
        <v>208</v>
      </c>
      <c r="D129" s="172" t="s">
        <v>207</v>
      </c>
      <c r="E129" s="186">
        <f>-1*BJ81</f>
        <v>1093.7232736769893</v>
      </c>
      <c r="F129" s="186">
        <f>-1*BK81</f>
        <v>883.59530447758971</v>
      </c>
      <c r="G129" s="186">
        <f>-1*BL81</f>
        <v>870.11664457675215</v>
      </c>
      <c r="I129" s="169" t="s">
        <v>214</v>
      </c>
      <c r="K129" s="172" t="s">
        <v>208</v>
      </c>
      <c r="L129" s="169" t="s">
        <v>262</v>
      </c>
      <c r="M129" s="246">
        <f>-1*BJ80</f>
        <v>0.48677062473247545</v>
      </c>
      <c r="N129" s="246">
        <f>-1*BK80</f>
        <v>0.39267174561975526</v>
      </c>
      <c r="O129" s="246">
        <f>-1*BL80</f>
        <v>0.38664764394716089</v>
      </c>
    </row>
    <row r="130" spans="2:15" x14ac:dyDescent="0.25">
      <c r="B130" s="188" t="s">
        <v>296</v>
      </c>
      <c r="C130" s="188" t="s">
        <v>208</v>
      </c>
      <c r="D130" s="188" t="s">
        <v>202</v>
      </c>
      <c r="E130" s="189">
        <f>-1*BJ74</f>
        <v>3.7317838097858882</v>
      </c>
      <c r="F130" s="189">
        <f>-1*BK74</f>
        <v>3.0148271788775354</v>
      </c>
      <c r="G130" s="189">
        <f>-1*BL74</f>
        <v>2.968837991295878</v>
      </c>
      <c r="I130" s="188" t="s">
        <v>296</v>
      </c>
      <c r="J130" s="188"/>
      <c r="K130" s="188" t="s">
        <v>208</v>
      </c>
      <c r="L130" s="188"/>
      <c r="M130" s="188"/>
      <c r="N130" s="188"/>
      <c r="O130" s="188"/>
    </row>
  </sheetData>
  <mergeCells count="15">
    <mergeCell ref="V31:X31"/>
    <mergeCell ref="D34:H34"/>
    <mergeCell ref="I34:M34"/>
    <mergeCell ref="N34:R34"/>
    <mergeCell ref="I104:O104"/>
    <mergeCell ref="B104:G104"/>
    <mergeCell ref="S34:S35"/>
    <mergeCell ref="B75:C75"/>
    <mergeCell ref="E75:I75"/>
    <mergeCell ref="H2:K2"/>
    <mergeCell ref="B9:B10"/>
    <mergeCell ref="B7:B8"/>
    <mergeCell ref="D28:F28"/>
    <mergeCell ref="E17:E19"/>
    <mergeCell ref="F17:F19"/>
  </mergeCells>
  <conditionalFormatting sqref="W106:X106">
    <cfRule type="cellIs" dxfId="25" priority="55" operator="lessThan">
      <formula>0</formula>
    </cfRule>
    <cfRule type="cellIs" dxfId="24" priority="56" operator="greaterThan">
      <formula>0</formula>
    </cfRule>
    <cfRule type="cellIs" dxfId="23" priority="60" operator="greaterThan">
      <formula>0</formula>
    </cfRule>
    <cfRule type="cellIs" dxfId="22" priority="62" operator="greaterThan">
      <formula>0</formula>
    </cfRule>
  </conditionalFormatting>
  <conditionalFormatting sqref="W109:X109">
    <cfRule type="cellIs" dxfId="21" priority="57" operator="lessThan">
      <formula>0</formula>
    </cfRule>
    <cfRule type="cellIs" dxfId="20" priority="61" operator="greaterThan">
      <formula>0</formula>
    </cfRule>
  </conditionalFormatting>
  <conditionalFormatting sqref="BJ80:BL80 BJ74:BL74 BE80:BG80 BE74:BG74 AZ80:BB80 AZ74:BB74 AU80:AW80 AU74:AW74 AP80:AR80 AP74:AR74 AK80:AM80 AK74:AM74 AF80:AH81 AF74:AH74 AA80:AD81 AA74:AC74 V74:X74 V80:X80">
    <cfRule type="cellIs" dxfId="19" priority="53" operator="greaterThan">
      <formula>0</formula>
    </cfRule>
    <cfRule type="cellIs" dxfId="18" priority="54" operator="lessThan">
      <formula>0</formula>
    </cfRule>
  </conditionalFormatting>
  <conditionalFormatting sqref="BJ77:BL77 BE77:BG77 AZ77:BB77 AU77:AW77 AP77:AR77 AK77:AM77 AF77:AH77 AA77:AD77 V77:X77">
    <cfRule type="cellIs" dxfId="17" priority="51" operator="lessThan">
      <formula>0</formula>
    </cfRule>
    <cfRule type="cellIs" dxfId="16" priority="52" operator="greaterThan">
      <formula>0</formula>
    </cfRule>
  </conditionalFormatting>
  <dataValidations disablePrompts="1" count="1">
    <dataValidation type="list" allowBlank="1" showInputMessage="1" showErrorMessage="1" sqref="C11" xr:uid="{182F98F6-E5D4-455F-9ED7-6279FA31DB2C}">
      <formula1>$R$4:$R$23</formula1>
    </dataValidation>
  </dataValidations>
  <hyperlinks>
    <hyperlink ref="D97" r:id="rId1" xr:uid="{8A170484-0945-4081-AA5B-FBEE9CF934B3}"/>
    <hyperlink ref="D98" r:id="rId2" xr:uid="{D46EB0C3-8DAF-4A50-A2D3-0F6FCB614330}"/>
    <hyperlink ref="D100" r:id="rId3" xr:uid="{310ADDF8-859B-4696-9955-AA885A9B3BD9}"/>
    <hyperlink ref="D99" r:id="rId4" xr:uid="{B8F9E1B3-7670-4288-804D-82B90A560A5A}"/>
    <hyperlink ref="E84" r:id="rId5" xr:uid="{3EC48908-B486-4FFB-AC99-A498013D78E2}"/>
    <hyperlink ref="E85" r:id="rId6" xr:uid="{C2E80598-BCF2-481D-909F-2E2C13AFAF18}"/>
    <hyperlink ref="E86" r:id="rId7" xr:uid="{24C813CA-FE48-4C5E-BC9A-19F3F4D7DF4D}"/>
    <hyperlink ref="E87" r:id="rId8" xr:uid="{FDE8680B-8D61-44C0-8FD3-1A2E1DFDDD57}"/>
    <hyperlink ref="E83" r:id="rId9" xr:uid="{BAECF726-32F0-40AD-9C93-C7CAC0E1CA29}"/>
    <hyperlink ref="E91" r:id="rId10" xr:uid="{E689069F-42B7-4CC1-958B-C366683A7B75}"/>
    <hyperlink ref="E88" r:id="rId11" xr:uid="{85A4E40C-5698-4530-9BF0-3436FC6EE5C9}"/>
    <hyperlink ref="D101" r:id="rId12" xr:uid="{BDA1247E-7BC1-4377-B2A3-C34C9989B1C4}"/>
    <hyperlink ref="E93" r:id="rId13" xr:uid="{6374812E-DAC8-4BB8-B866-3E4DB292D52D}"/>
  </hyperlinks>
  <pageMargins left="0.7" right="0.7" top="0.75" bottom="0.75" header="0.3" footer="0.3"/>
  <pageSetup orientation="portrait" verticalDpi="1200"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F81A1-0FE5-4F73-AAA9-B11F295D7933}">
  <sheetPr>
    <tabColor theme="4" tint="0.59999389629810485"/>
  </sheetPr>
  <dimension ref="B1:W55"/>
  <sheetViews>
    <sheetView workbookViewId="0">
      <selection activeCell="D44" sqref="D44"/>
    </sheetView>
  </sheetViews>
  <sheetFormatPr defaultRowHeight="15" x14ac:dyDescent="0.25"/>
  <cols>
    <col min="1" max="1" width="3.42578125" customWidth="1"/>
    <col min="2" max="2" width="27" customWidth="1"/>
    <col min="3" max="3" width="25.5703125" customWidth="1"/>
    <col min="4" max="4" width="18.5703125" customWidth="1"/>
    <col min="5" max="6" width="15.140625" customWidth="1"/>
    <col min="7" max="7" width="12.28515625" customWidth="1"/>
    <col min="16" max="16" width="37" customWidth="1"/>
    <col min="17" max="19" width="15.140625" customWidth="1"/>
    <col min="20" max="20" width="4.28515625" customWidth="1"/>
    <col min="21" max="23" width="14.85546875" customWidth="1"/>
  </cols>
  <sheetData>
    <row r="1" spans="2:23" ht="15.75" thickBot="1" x14ac:dyDescent="0.3"/>
    <row r="2" spans="2:23" ht="15.75" thickBot="1" x14ac:dyDescent="0.3">
      <c r="B2" s="21" t="s">
        <v>10</v>
      </c>
      <c r="C2" s="22"/>
      <c r="Q2" s="336" t="s">
        <v>248</v>
      </c>
      <c r="R2" s="337"/>
      <c r="S2" s="338"/>
      <c r="U2" s="336" t="s">
        <v>243</v>
      </c>
      <c r="V2" s="337"/>
      <c r="W2" s="338"/>
    </row>
    <row r="3" spans="2:23" ht="30" customHeight="1" thickBot="1" x14ac:dyDescent="0.3">
      <c r="B3" s="15" t="s">
        <v>11</v>
      </c>
      <c r="C3" s="15" t="s">
        <v>117</v>
      </c>
      <c r="D3" s="15" t="s">
        <v>12</v>
      </c>
      <c r="H3" s="34" t="s">
        <v>0</v>
      </c>
      <c r="I3" s="34"/>
      <c r="P3" s="137" t="s">
        <v>42</v>
      </c>
      <c r="Q3" s="330" t="s">
        <v>249</v>
      </c>
      <c r="R3" s="331"/>
      <c r="S3" s="332"/>
      <c r="U3" s="333" t="s">
        <v>250</v>
      </c>
      <c r="V3" s="334"/>
      <c r="W3" s="335"/>
    </row>
    <row r="4" spans="2:23" ht="15.75" thickBot="1" x14ac:dyDescent="0.3">
      <c r="B4" s="32" t="s">
        <v>13</v>
      </c>
      <c r="C4" s="35" t="s">
        <v>212</v>
      </c>
      <c r="D4" s="1"/>
      <c r="H4" s="36" t="s">
        <v>1</v>
      </c>
      <c r="I4" s="36"/>
      <c r="P4" s="138" t="s">
        <v>5</v>
      </c>
      <c r="Q4" s="85">
        <v>1</v>
      </c>
      <c r="R4" s="83">
        <v>2</v>
      </c>
      <c r="S4" s="86">
        <v>3</v>
      </c>
      <c r="U4" s="85">
        <v>1</v>
      </c>
      <c r="V4" s="83">
        <v>2</v>
      </c>
      <c r="W4" s="86">
        <v>3</v>
      </c>
    </row>
    <row r="5" spans="2:23" ht="15.75" thickBot="1" x14ac:dyDescent="0.3">
      <c r="B5" s="32" t="s">
        <v>14</v>
      </c>
      <c r="C5" s="35" t="s">
        <v>245</v>
      </c>
      <c r="D5" s="1"/>
      <c r="H5" s="37" t="s">
        <v>4</v>
      </c>
      <c r="I5" s="37"/>
      <c r="P5" s="139" t="s">
        <v>43</v>
      </c>
      <c r="Q5" s="236"/>
      <c r="R5" s="211"/>
      <c r="S5" s="237"/>
      <c r="U5" s="236"/>
      <c r="V5" s="211"/>
      <c r="W5" s="237"/>
    </row>
    <row r="6" spans="2:23" ht="60" x14ac:dyDescent="0.25">
      <c r="B6" s="32" t="s">
        <v>15</v>
      </c>
      <c r="C6" s="35" t="s">
        <v>213</v>
      </c>
      <c r="D6" s="1"/>
      <c r="P6" s="141" t="s">
        <v>322</v>
      </c>
      <c r="Q6" s="87">
        <f>$C$24</f>
        <v>31000</v>
      </c>
      <c r="R6" s="18">
        <f>$C$25</f>
        <v>30000</v>
      </c>
      <c r="S6" s="216">
        <f>$C$26</f>
        <v>35500</v>
      </c>
      <c r="U6" s="87">
        <f>$C$24</f>
        <v>31000</v>
      </c>
      <c r="V6" s="18">
        <f>$C$25</f>
        <v>30000</v>
      </c>
      <c r="W6" s="216">
        <f>$C$26</f>
        <v>35500</v>
      </c>
    </row>
    <row r="7" spans="2:23" ht="60" x14ac:dyDescent="0.25">
      <c r="B7" s="167" t="s">
        <v>17</v>
      </c>
      <c r="C7" s="35" t="s">
        <v>18</v>
      </c>
      <c r="D7" s="1"/>
      <c r="P7" s="141" t="s">
        <v>321</v>
      </c>
      <c r="Q7" s="88">
        <f>D18</f>
        <v>312</v>
      </c>
      <c r="R7" s="43">
        <f>D19</f>
        <v>565</v>
      </c>
      <c r="S7" s="89">
        <f>D20</f>
        <v>567</v>
      </c>
      <c r="U7" s="88">
        <f>C18</f>
        <v>456</v>
      </c>
      <c r="V7" s="43">
        <f>C19</f>
        <v>512</v>
      </c>
      <c r="W7" s="89">
        <f>C20</f>
        <v>678</v>
      </c>
    </row>
    <row r="8" spans="2:23" ht="15.75" thickBot="1" x14ac:dyDescent="0.3">
      <c r="P8" s="138" t="s">
        <v>161</v>
      </c>
      <c r="Q8" s="181">
        <f>$C$27</f>
        <v>19.5</v>
      </c>
      <c r="R8" s="194">
        <f t="shared" ref="R8:S8" si="0">$C$27</f>
        <v>19.5</v>
      </c>
      <c r="S8" s="217">
        <f t="shared" si="0"/>
        <v>19.5</v>
      </c>
      <c r="U8" s="181">
        <f t="shared" ref="U8:W8" si="1">$C$27</f>
        <v>19.5</v>
      </c>
      <c r="V8" s="194">
        <f t="shared" si="1"/>
        <v>19.5</v>
      </c>
      <c r="W8" s="217">
        <f t="shared" si="1"/>
        <v>19.5</v>
      </c>
    </row>
    <row r="9" spans="2:23" x14ac:dyDescent="0.25">
      <c r="B9" s="23" t="s">
        <v>29</v>
      </c>
      <c r="C9" s="24"/>
      <c r="D9" s="24"/>
      <c r="E9" s="24"/>
      <c r="F9" s="24"/>
      <c r="G9" s="24"/>
      <c r="H9" s="24"/>
      <c r="I9" s="24"/>
      <c r="J9" s="24"/>
      <c r="K9" s="25"/>
      <c r="O9" s="73"/>
      <c r="P9" s="138" t="s">
        <v>54</v>
      </c>
      <c r="Q9" s="193"/>
      <c r="R9" s="45"/>
      <c r="S9" s="91"/>
      <c r="U9" s="90"/>
      <c r="V9" s="45"/>
      <c r="W9" s="91"/>
    </row>
    <row r="10" spans="2:23" x14ac:dyDescent="0.25">
      <c r="B10" s="26" t="s">
        <v>244</v>
      </c>
      <c r="C10" t="s">
        <v>240</v>
      </c>
      <c r="D10" t="s">
        <v>30</v>
      </c>
      <c r="E10" t="s">
        <v>263</v>
      </c>
      <c r="K10" s="27"/>
      <c r="P10" s="140" t="s">
        <v>55</v>
      </c>
      <c r="Q10" s="92">
        <f>(Q6*Q7/1000)</f>
        <v>9672</v>
      </c>
      <c r="R10" s="59">
        <f t="shared" ref="R10:W10" si="2">(R6*R7/1000)</f>
        <v>16950</v>
      </c>
      <c r="S10" s="93">
        <f t="shared" si="2"/>
        <v>20128.5</v>
      </c>
      <c r="U10" s="92">
        <f t="shared" si="2"/>
        <v>14136</v>
      </c>
      <c r="V10" s="59">
        <f t="shared" si="2"/>
        <v>15360</v>
      </c>
      <c r="W10" s="93">
        <f t="shared" si="2"/>
        <v>24069</v>
      </c>
    </row>
    <row r="11" spans="2:23" x14ac:dyDescent="0.25">
      <c r="B11" s="26"/>
      <c r="C11" t="s">
        <v>242</v>
      </c>
      <c r="D11" t="s">
        <v>30</v>
      </c>
      <c r="E11" s="46" t="s">
        <v>264</v>
      </c>
      <c r="K11" s="27"/>
      <c r="P11" s="139" t="s">
        <v>192</v>
      </c>
      <c r="Q11" s="214"/>
      <c r="R11" s="212"/>
      <c r="S11" s="215"/>
      <c r="U11" s="214"/>
      <c r="V11" s="212"/>
      <c r="W11" s="215"/>
    </row>
    <row r="12" spans="2:23" x14ac:dyDescent="0.25">
      <c r="B12" s="26"/>
      <c r="E12" s="46"/>
      <c r="K12" s="27"/>
      <c r="P12" s="138" t="s">
        <v>57</v>
      </c>
      <c r="Q12" s="87">
        <f>$C$32</f>
        <v>31000</v>
      </c>
      <c r="R12" s="18">
        <f>$C$33</f>
        <v>30000</v>
      </c>
      <c r="S12" s="216">
        <f>$C$34</f>
        <v>35500</v>
      </c>
      <c r="U12" s="87">
        <f>$C$29</f>
        <v>31000</v>
      </c>
      <c r="V12" s="18">
        <f>$C$30</f>
        <v>30000</v>
      </c>
      <c r="W12" s="216">
        <f>$C$31</f>
        <v>35500</v>
      </c>
    </row>
    <row r="13" spans="2:23" x14ac:dyDescent="0.25">
      <c r="B13" s="26" t="s">
        <v>243</v>
      </c>
      <c r="C13" t="s">
        <v>241</v>
      </c>
      <c r="D13" t="s">
        <v>30</v>
      </c>
      <c r="E13" t="s">
        <v>265</v>
      </c>
      <c r="K13" s="27"/>
      <c r="N13">
        <f>(42000/1000)*567*(1/14)</f>
        <v>1701</v>
      </c>
      <c r="P13" s="138" t="s">
        <v>251</v>
      </c>
      <c r="Q13" s="197">
        <f>D18</f>
        <v>312</v>
      </c>
      <c r="R13" s="198">
        <f>D19</f>
        <v>565</v>
      </c>
      <c r="S13" s="199">
        <f>D20</f>
        <v>567</v>
      </c>
      <c r="U13" s="197">
        <f>C18</f>
        <v>456</v>
      </c>
      <c r="V13" s="198">
        <f>C19</f>
        <v>512</v>
      </c>
      <c r="W13" s="199">
        <f>C20</f>
        <v>678</v>
      </c>
    </row>
    <row r="14" spans="2:23" x14ac:dyDescent="0.25">
      <c r="B14" s="26"/>
      <c r="C14" t="s">
        <v>242</v>
      </c>
      <c r="D14" t="s">
        <v>30</v>
      </c>
      <c r="E14" s="46" t="s">
        <v>266</v>
      </c>
      <c r="K14" s="27"/>
      <c r="P14" s="138" t="s">
        <v>161</v>
      </c>
      <c r="Q14" s="181">
        <f>$C$36</f>
        <v>14</v>
      </c>
      <c r="R14" s="194">
        <f>$C$36</f>
        <v>14</v>
      </c>
      <c r="S14" s="217">
        <f>$C$36</f>
        <v>14</v>
      </c>
      <c r="U14" s="181">
        <f>$C$35</f>
        <v>14</v>
      </c>
      <c r="V14" s="194">
        <f>$C$35</f>
        <v>14</v>
      </c>
      <c r="W14" s="217">
        <f>$C$35</f>
        <v>14</v>
      </c>
    </row>
    <row r="15" spans="2:23" ht="15.75" thickBot="1" x14ac:dyDescent="0.3">
      <c r="B15" s="28"/>
      <c r="C15" s="29"/>
      <c r="D15" s="29"/>
      <c r="E15" s="29"/>
      <c r="F15" s="29"/>
      <c r="G15" s="29"/>
      <c r="H15" s="29"/>
      <c r="I15" s="29"/>
      <c r="J15" s="29"/>
      <c r="K15" s="30"/>
      <c r="P15" s="138" t="s">
        <v>54</v>
      </c>
      <c r="Q15" s="90"/>
      <c r="R15" s="45"/>
      <c r="S15" s="91"/>
      <c r="U15" s="90"/>
      <c r="V15" s="45"/>
      <c r="W15" s="91"/>
    </row>
    <row r="16" spans="2:23" x14ac:dyDescent="0.25">
      <c r="P16" s="138" t="s">
        <v>60</v>
      </c>
      <c r="Q16" s="92">
        <f>Q12*Q13/1000</f>
        <v>9672</v>
      </c>
      <c r="R16" s="59">
        <f t="shared" ref="R16:S16" si="3">R12*R13/1000</f>
        <v>16950</v>
      </c>
      <c r="S16" s="93">
        <f t="shared" si="3"/>
        <v>20128.5</v>
      </c>
      <c r="U16" s="92">
        <f>U12*U13/1000</f>
        <v>14136</v>
      </c>
      <c r="V16" s="59">
        <f t="shared" ref="V16:W16" si="4">V12*V13/1000</f>
        <v>15360</v>
      </c>
      <c r="W16" s="93">
        <f t="shared" si="4"/>
        <v>24069</v>
      </c>
    </row>
    <row r="17" spans="2:23" x14ac:dyDescent="0.25">
      <c r="B17" s="16" t="s">
        <v>5</v>
      </c>
      <c r="C17" s="16" t="s">
        <v>246</v>
      </c>
      <c r="D17" s="16" t="s">
        <v>247</v>
      </c>
      <c r="E17" s="258" t="s">
        <v>272</v>
      </c>
      <c r="F17" s="258" t="s">
        <v>273</v>
      </c>
      <c r="P17" s="138" t="s">
        <v>62</v>
      </c>
      <c r="Q17" s="252">
        <f>(Q12/12000)*(Q13)*12/Q14</f>
        <v>690.85714285714289</v>
      </c>
      <c r="R17" s="70">
        <f t="shared" ref="R17:S17" si="5">(R12/12000)*(R13)*12/R14</f>
        <v>1210.7142857142858</v>
      </c>
      <c r="S17" s="256">
        <f t="shared" si="5"/>
        <v>1437.75</v>
      </c>
      <c r="U17" s="252">
        <f t="shared" ref="U17:W17" si="6">(U12/12000)*(U13)*12/U14</f>
        <v>1009.7142857142857</v>
      </c>
      <c r="V17" s="70">
        <f t="shared" si="6"/>
        <v>1097.1428571428571</v>
      </c>
      <c r="W17" s="256">
        <f t="shared" si="6"/>
        <v>1719.2142857142858</v>
      </c>
    </row>
    <row r="18" spans="2:23" x14ac:dyDescent="0.25">
      <c r="B18" s="1">
        <v>1</v>
      </c>
      <c r="C18" s="1">
        <v>456</v>
      </c>
      <c r="D18" s="1">
        <v>312</v>
      </c>
      <c r="E18" s="339">
        <v>0.75</v>
      </c>
      <c r="F18" s="339">
        <v>0.9</v>
      </c>
      <c r="P18" s="141" t="s">
        <v>64</v>
      </c>
      <c r="Q18" s="99">
        <f>$C$38</f>
        <v>0.13</v>
      </c>
      <c r="R18" s="71">
        <f>$C$38</f>
        <v>0.13</v>
      </c>
      <c r="S18" s="100">
        <f>$C$38</f>
        <v>0.13</v>
      </c>
      <c r="U18" s="99">
        <f>$C$38</f>
        <v>0.13</v>
      </c>
      <c r="V18" s="71">
        <f>$C$38</f>
        <v>0.13</v>
      </c>
      <c r="W18" s="100">
        <f>$C$38</f>
        <v>0.13</v>
      </c>
    </row>
    <row r="19" spans="2:23" x14ac:dyDescent="0.25">
      <c r="B19" s="1">
        <v>2</v>
      </c>
      <c r="C19" s="1">
        <v>512</v>
      </c>
      <c r="D19" s="1">
        <v>565</v>
      </c>
      <c r="E19" s="339"/>
      <c r="F19" s="339"/>
      <c r="P19" s="138" t="s">
        <v>253</v>
      </c>
      <c r="Q19" s="101">
        <f>Q18*Q17</f>
        <v>89.811428571428578</v>
      </c>
      <c r="R19" s="61">
        <f>R18*R17</f>
        <v>157.39285714285717</v>
      </c>
      <c r="S19" s="102">
        <f>S18*S17</f>
        <v>186.9075</v>
      </c>
      <c r="U19" s="101">
        <f>U18*U17</f>
        <v>131.26285714285714</v>
      </c>
      <c r="V19" s="61">
        <f>V18*V17</f>
        <v>142.62857142857143</v>
      </c>
      <c r="W19" s="102">
        <f>W18*W17</f>
        <v>223.49785714285716</v>
      </c>
    </row>
    <row r="20" spans="2:23" x14ac:dyDescent="0.25">
      <c r="B20" s="1">
        <v>3</v>
      </c>
      <c r="C20" s="1">
        <v>678</v>
      </c>
      <c r="D20" s="1">
        <v>567</v>
      </c>
      <c r="E20" s="339"/>
      <c r="F20" s="339"/>
      <c r="P20" s="138" t="s">
        <v>252</v>
      </c>
      <c r="Q20" s="107">
        <f>$C$37*Q17</f>
        <v>0.30950400000000006</v>
      </c>
      <c r="R20" s="67">
        <f>$C$37*R17</f>
        <v>0.5424000000000001</v>
      </c>
      <c r="S20" s="108">
        <f>$C$37*S17</f>
        <v>0.64411200000000002</v>
      </c>
      <c r="U20" s="107">
        <f>$C$37*U17</f>
        <v>0.45235200000000003</v>
      </c>
      <c r="V20" s="67">
        <f>$C$37*V17</f>
        <v>0.49152000000000001</v>
      </c>
      <c r="W20" s="108">
        <f>$C$37*W17</f>
        <v>0.77020800000000011</v>
      </c>
    </row>
    <row r="21" spans="2:23" x14ac:dyDescent="0.25">
      <c r="P21" s="142" t="s">
        <v>73</v>
      </c>
      <c r="Q21" s="214"/>
      <c r="R21" s="212"/>
      <c r="S21" s="215"/>
      <c r="U21" s="214"/>
      <c r="V21" s="212"/>
      <c r="W21" s="215"/>
    </row>
    <row r="22" spans="2:23" x14ac:dyDescent="0.25">
      <c r="P22" s="138" t="s">
        <v>74</v>
      </c>
      <c r="Q22" s="109">
        <f>(Q6*Q7/1000)</f>
        <v>9672</v>
      </c>
      <c r="R22" s="72">
        <f>(R6*R7/1000)</f>
        <v>16950</v>
      </c>
      <c r="S22" s="110">
        <f>(S6*S7/1000)</f>
        <v>20128.5</v>
      </c>
      <c r="U22" s="109">
        <f>(U6*U7/1000)</f>
        <v>14136</v>
      </c>
      <c r="V22" s="72">
        <f>(V6*V7/1000)</f>
        <v>15360</v>
      </c>
      <c r="W22" s="110">
        <f>(W6*W7/1000)</f>
        <v>24069</v>
      </c>
    </row>
    <row r="23" spans="2:23" x14ac:dyDescent="0.25">
      <c r="B23" s="328" t="s">
        <v>136</v>
      </c>
      <c r="C23" s="328"/>
      <c r="D23" s="15" t="s">
        <v>148</v>
      </c>
      <c r="E23" s="328" t="s">
        <v>12</v>
      </c>
      <c r="F23" s="328"/>
      <c r="G23" s="328"/>
      <c r="H23" s="328"/>
      <c r="I23" s="328"/>
      <c r="P23" s="140" t="s">
        <v>77</v>
      </c>
      <c r="Q23" s="113">
        <f>Q22/Q16</f>
        <v>1</v>
      </c>
      <c r="R23" s="64">
        <f>R22/R16</f>
        <v>1</v>
      </c>
      <c r="S23" s="114">
        <f>S22/S16</f>
        <v>1</v>
      </c>
      <c r="U23" s="113">
        <f>U22/U16</f>
        <v>1</v>
      </c>
      <c r="V23" s="64">
        <f>V22/V16</f>
        <v>1</v>
      </c>
      <c r="W23" s="114">
        <f>W22/W16</f>
        <v>1</v>
      </c>
    </row>
    <row r="24" spans="2:23" x14ac:dyDescent="0.25">
      <c r="B24" s="1" t="s">
        <v>139</v>
      </c>
      <c r="C24" s="200">
        <v>31000</v>
      </c>
      <c r="D24" s="1" t="s">
        <v>140</v>
      </c>
      <c r="E24" t="s">
        <v>146</v>
      </c>
      <c r="P24" s="138" t="s">
        <v>62</v>
      </c>
      <c r="Q24" s="250">
        <f>Q6/12000*(Q7)*12/Q8</f>
        <v>496</v>
      </c>
      <c r="R24" s="65">
        <f t="shared" ref="R24:S24" si="7">R6/12000*(R7)*12/R8</f>
        <v>869.23076923076928</v>
      </c>
      <c r="S24" s="254">
        <f t="shared" si="7"/>
        <v>1032.2307692307693</v>
      </c>
      <c r="U24" s="250">
        <f t="shared" ref="U24:W24" si="8">U6/12000*(U7)*12/U8</f>
        <v>724.92307692307691</v>
      </c>
      <c r="V24" s="65">
        <f t="shared" si="8"/>
        <v>787.69230769230774</v>
      </c>
      <c r="W24" s="254">
        <f t="shared" si="8"/>
        <v>1234.3076923076924</v>
      </c>
    </row>
    <row r="25" spans="2:23" x14ac:dyDescent="0.25">
      <c r="B25" s="1" t="s">
        <v>138</v>
      </c>
      <c r="C25" s="200">
        <v>30000</v>
      </c>
      <c r="D25" s="1" t="s">
        <v>140</v>
      </c>
      <c r="E25" t="s">
        <v>146</v>
      </c>
      <c r="P25" s="138" t="s">
        <v>254</v>
      </c>
      <c r="Q25" s="116">
        <f>Q24*Q18</f>
        <v>64.48</v>
      </c>
      <c r="R25" s="66">
        <f>R24*R18</f>
        <v>113.00000000000001</v>
      </c>
      <c r="S25" s="117">
        <f>S24*S18</f>
        <v>134.19</v>
      </c>
      <c r="U25" s="116">
        <f>U24*U18</f>
        <v>94.24</v>
      </c>
      <c r="V25" s="66">
        <f>V24*V18</f>
        <v>102.4</v>
      </c>
      <c r="W25" s="117">
        <f>W24*W18</f>
        <v>160.46</v>
      </c>
    </row>
    <row r="26" spans="2:23" x14ac:dyDescent="0.25">
      <c r="B26" s="1" t="s">
        <v>137</v>
      </c>
      <c r="C26" s="200">
        <v>35500</v>
      </c>
      <c r="D26" s="1" t="s">
        <v>140</v>
      </c>
      <c r="E26" t="s">
        <v>147</v>
      </c>
      <c r="P26" s="138" t="s">
        <v>71</v>
      </c>
      <c r="Q26" s="118">
        <f>Q24*$C$37</f>
        <v>0.22220800000000002</v>
      </c>
      <c r="R26" s="68">
        <f>R24*$C$37</f>
        <v>0.38941538461538466</v>
      </c>
      <c r="S26" s="119">
        <f>S24*$C$37</f>
        <v>0.4624393846153847</v>
      </c>
      <c r="U26" s="118">
        <f>U24*$C$37</f>
        <v>0.32476553846153849</v>
      </c>
      <c r="V26" s="68">
        <f>V24*$C$37</f>
        <v>0.3528861538461539</v>
      </c>
      <c r="W26" s="119">
        <f>W24*$C$37</f>
        <v>0.55296984615384626</v>
      </c>
    </row>
    <row r="27" spans="2:23" x14ac:dyDescent="0.25">
      <c r="B27" s="1" t="s">
        <v>142</v>
      </c>
      <c r="C27" s="201">
        <v>19.5</v>
      </c>
      <c r="D27" s="1" t="s">
        <v>161</v>
      </c>
      <c r="E27" t="s">
        <v>152</v>
      </c>
      <c r="P27" s="142" t="s">
        <v>78</v>
      </c>
      <c r="Q27" s="241"/>
      <c r="R27" s="232"/>
      <c r="S27" s="242"/>
      <c r="U27" s="214"/>
      <c r="V27" s="212"/>
      <c r="W27" s="215"/>
    </row>
    <row r="28" spans="2:23" x14ac:dyDescent="0.25">
      <c r="B28" s="1" t="s">
        <v>151</v>
      </c>
      <c r="C28" s="201">
        <v>12.5</v>
      </c>
      <c r="D28" s="1" t="s">
        <v>239</v>
      </c>
      <c r="E28" t="s">
        <v>152</v>
      </c>
      <c r="P28" s="243" t="s">
        <v>267</v>
      </c>
      <c r="Q28" s="120">
        <f>Q24-Q17</f>
        <v>-194.85714285714289</v>
      </c>
      <c r="R28" s="69">
        <f>R24-R17</f>
        <v>-341.4835164835165</v>
      </c>
      <c r="S28" s="121">
        <f>S24-S17</f>
        <v>-405.51923076923072</v>
      </c>
      <c r="U28" s="120">
        <f>U24-U17</f>
        <v>-284.79120879120876</v>
      </c>
      <c r="V28" s="69">
        <f>V24-V17</f>
        <v>-309.45054945054937</v>
      </c>
      <c r="W28" s="121">
        <f>W24-W17</f>
        <v>-484.9065934065934</v>
      </c>
    </row>
    <row r="29" spans="2:23" x14ac:dyDescent="0.25">
      <c r="B29" s="1" t="s">
        <v>232</v>
      </c>
      <c r="C29" s="200">
        <f>C24</f>
        <v>31000</v>
      </c>
      <c r="D29" s="1"/>
      <c r="E29" t="s">
        <v>269</v>
      </c>
      <c r="P29" s="138" t="s">
        <v>268</v>
      </c>
      <c r="Q29" s="105">
        <f>Q28*0.003412</f>
        <v>-0.66485257142857157</v>
      </c>
      <c r="R29" s="58">
        <f t="shared" ref="R29:S29" si="9">R28*0.003412</f>
        <v>-1.1651417582417583</v>
      </c>
      <c r="S29" s="106">
        <f t="shared" si="9"/>
        <v>-1.3836316153846153</v>
      </c>
      <c r="U29" s="105">
        <f t="shared" ref="U29:W29" si="10">U28*0.003412</f>
        <v>-0.97170760439560433</v>
      </c>
      <c r="V29" s="58">
        <f t="shared" si="10"/>
        <v>-1.0558452747252745</v>
      </c>
      <c r="W29" s="106">
        <f t="shared" si="10"/>
        <v>-1.6545012967032968</v>
      </c>
    </row>
    <row r="30" spans="2:23" x14ac:dyDescent="0.25">
      <c r="B30" s="1" t="s">
        <v>233</v>
      </c>
      <c r="C30" s="200">
        <f t="shared" ref="C30:C31" si="11">C25</f>
        <v>30000</v>
      </c>
      <c r="D30" s="1"/>
      <c r="E30" t="s">
        <v>269</v>
      </c>
      <c r="P30" s="138" t="s">
        <v>88</v>
      </c>
      <c r="Q30" s="103">
        <f>Q25-Q19</f>
        <v>-25.331428571428575</v>
      </c>
      <c r="R30" s="62">
        <f>R25-R19</f>
        <v>-44.392857142857153</v>
      </c>
      <c r="S30" s="104">
        <f>S25-S19</f>
        <v>-52.717500000000001</v>
      </c>
      <c r="U30" s="103">
        <f>U25-U19</f>
        <v>-37.022857142857148</v>
      </c>
      <c r="V30" s="62">
        <f>V25-V19</f>
        <v>-40.228571428571428</v>
      </c>
      <c r="W30" s="104">
        <f>W25-W19</f>
        <v>-63.037857142857149</v>
      </c>
    </row>
    <row r="31" spans="2:23" ht="15.75" thickBot="1" x14ac:dyDescent="0.3">
      <c r="B31" s="1" t="s">
        <v>234</v>
      </c>
      <c r="C31" s="200">
        <f t="shared" si="11"/>
        <v>35500</v>
      </c>
      <c r="D31" s="1"/>
      <c r="E31" t="s">
        <v>269</v>
      </c>
      <c r="P31" s="229" t="s">
        <v>257</v>
      </c>
      <c r="Q31" s="238">
        <f>Q26-Q20</f>
        <v>-8.729600000000004E-2</v>
      </c>
      <c r="R31" s="239">
        <f t="shared" ref="R31:S31" si="12">R26-R20</f>
        <v>-0.15298461538461544</v>
      </c>
      <c r="S31" s="240">
        <f t="shared" si="12"/>
        <v>-0.18167261538461532</v>
      </c>
      <c r="U31" s="238">
        <f>U26-U20</f>
        <v>-0.12758646153846154</v>
      </c>
      <c r="V31" s="239">
        <f t="shared" ref="V31:W31" si="13">V26-V20</f>
        <v>-0.13863384615384611</v>
      </c>
      <c r="W31" s="240">
        <f t="shared" si="13"/>
        <v>-0.21723815384615386</v>
      </c>
    </row>
    <row r="32" spans="2:23" x14ac:dyDescent="0.25">
      <c r="B32" s="1" t="s">
        <v>235</v>
      </c>
      <c r="C32" s="200">
        <v>31000</v>
      </c>
      <c r="D32" s="1"/>
      <c r="E32" t="s">
        <v>269</v>
      </c>
    </row>
    <row r="33" spans="2:23" x14ac:dyDescent="0.25">
      <c r="B33" s="1" t="s">
        <v>236</v>
      </c>
      <c r="C33" s="200">
        <v>30000</v>
      </c>
      <c r="D33" s="1"/>
      <c r="E33" t="s">
        <v>269</v>
      </c>
      <c r="P33" s="76"/>
      <c r="Q33" s="169"/>
      <c r="R33" s="235"/>
      <c r="S33" s="169"/>
      <c r="T33" s="169"/>
      <c r="U33" s="169"/>
      <c r="V33" s="169"/>
      <c r="W33" s="169"/>
    </row>
    <row r="34" spans="2:23" x14ac:dyDescent="0.25">
      <c r="B34" s="1" t="s">
        <v>237</v>
      </c>
      <c r="C34" s="200">
        <v>35500</v>
      </c>
      <c r="D34" s="1"/>
      <c r="E34" t="s">
        <v>269</v>
      </c>
      <c r="P34" s="169"/>
      <c r="Q34" s="169"/>
      <c r="R34" s="169"/>
      <c r="S34" s="169"/>
      <c r="T34" s="169"/>
      <c r="U34" s="169"/>
      <c r="V34" s="169"/>
      <c r="W34" s="169"/>
    </row>
    <row r="35" spans="2:23" x14ac:dyDescent="0.25">
      <c r="B35" s="1" t="s">
        <v>231</v>
      </c>
      <c r="C35" s="202">
        <v>14</v>
      </c>
      <c r="D35" s="1" t="s">
        <v>161</v>
      </c>
      <c r="E35" s="10" t="s">
        <v>159</v>
      </c>
      <c r="P35" s="169"/>
      <c r="Q35" s="152"/>
      <c r="R35" s="152"/>
      <c r="S35" s="152"/>
      <c r="T35" s="169"/>
      <c r="U35" s="152"/>
      <c r="V35" s="152"/>
      <c r="W35" s="152"/>
    </row>
    <row r="36" spans="2:23" x14ac:dyDescent="0.25">
      <c r="B36" s="163" t="s">
        <v>238</v>
      </c>
      <c r="C36" s="202">
        <v>14</v>
      </c>
      <c r="D36" s="1" t="s">
        <v>161</v>
      </c>
      <c r="E36" s="10" t="s">
        <v>159</v>
      </c>
      <c r="P36" s="169"/>
      <c r="Q36" s="235"/>
      <c r="R36" s="169"/>
      <c r="S36" s="169"/>
      <c r="T36" s="169"/>
      <c r="U36" s="169"/>
      <c r="V36" s="169"/>
      <c r="W36" s="169"/>
    </row>
    <row r="37" spans="2:23" ht="30" x14ac:dyDescent="0.25">
      <c r="B37" s="33" t="s">
        <v>24</v>
      </c>
      <c r="C37" s="56">
        <f>ROUNDUP(986.63/1000/2204.62,6)</f>
        <v>4.4800000000000005E-4</v>
      </c>
      <c r="D37" s="31" t="s">
        <v>162</v>
      </c>
      <c r="E37" s="165">
        <f>C37*293.07</f>
        <v>0.13129536</v>
      </c>
      <c r="F37" s="180" t="s">
        <v>25</v>
      </c>
      <c r="P37" s="169"/>
      <c r="Q37" s="154"/>
      <c r="R37" s="154"/>
      <c r="S37" s="154"/>
      <c r="T37" s="169"/>
      <c r="U37" s="154"/>
      <c r="V37" s="154"/>
      <c r="W37" s="154"/>
    </row>
    <row r="38" spans="2:23" x14ac:dyDescent="0.25">
      <c r="B38" s="1" t="s">
        <v>127</v>
      </c>
      <c r="C38" s="207">
        <v>0.13</v>
      </c>
      <c r="D38" s="1" t="s">
        <v>128</v>
      </c>
      <c r="E38" t="s">
        <v>129</v>
      </c>
      <c r="P38" s="169"/>
      <c r="Q38" s="169"/>
      <c r="R38" s="169"/>
      <c r="S38" s="169"/>
      <c r="T38" s="169"/>
      <c r="U38" s="169"/>
      <c r="V38" s="169"/>
      <c r="W38" s="169"/>
    </row>
    <row r="39" spans="2:23" x14ac:dyDescent="0.25">
      <c r="P39" s="169"/>
      <c r="Q39" s="154"/>
      <c r="R39" s="154"/>
      <c r="S39" s="154"/>
      <c r="T39" s="169"/>
      <c r="U39" s="154"/>
      <c r="V39" s="154"/>
      <c r="W39" s="154"/>
    </row>
    <row r="40" spans="2:23" x14ac:dyDescent="0.25">
      <c r="P40" s="169"/>
      <c r="Q40" s="233"/>
      <c r="R40" s="233"/>
      <c r="S40" s="233"/>
      <c r="T40" s="169"/>
      <c r="U40" s="233"/>
      <c r="V40" s="233"/>
      <c r="W40" s="233"/>
    </row>
    <row r="41" spans="2:23" x14ac:dyDescent="0.25">
      <c r="B41" s="310" t="s">
        <v>259</v>
      </c>
      <c r="C41" s="329"/>
      <c r="D41" s="329"/>
      <c r="E41" s="329"/>
      <c r="F41" s="329"/>
      <c r="P41" s="169"/>
      <c r="Q41" s="169"/>
      <c r="R41" s="169"/>
      <c r="S41" s="169"/>
      <c r="T41" s="169"/>
      <c r="U41" s="169"/>
      <c r="V41" s="169"/>
      <c r="W41" s="169"/>
    </row>
    <row r="42" spans="2:23" x14ac:dyDescent="0.25">
      <c r="B42" s="188"/>
      <c r="C42" s="190"/>
      <c r="D42" s="190" t="s">
        <v>46</v>
      </c>
      <c r="E42" s="190" t="s">
        <v>47</v>
      </c>
      <c r="F42" s="190" t="s">
        <v>48</v>
      </c>
      <c r="P42" s="169"/>
      <c r="Q42" s="233"/>
      <c r="R42" s="233"/>
      <c r="S42" s="233"/>
      <c r="T42" s="169"/>
      <c r="U42" s="233"/>
      <c r="V42" s="233"/>
      <c r="W42" s="233"/>
    </row>
    <row r="43" spans="2:23" x14ac:dyDescent="0.25">
      <c r="B43" s="172" t="str">
        <f>Q3</f>
        <v>AC to HP</v>
      </c>
      <c r="C43" s="172" t="s">
        <v>255</v>
      </c>
      <c r="D43" s="191">
        <f>-1*Q28</f>
        <v>194.85714285714289</v>
      </c>
      <c r="E43" s="191">
        <f t="shared" ref="E43:F43" si="14">-1*R28</f>
        <v>341.4835164835165</v>
      </c>
      <c r="F43" s="191">
        <f t="shared" si="14"/>
        <v>405.51923076923072</v>
      </c>
      <c r="P43" s="169"/>
      <c r="Q43" s="169"/>
      <c r="R43" s="169"/>
      <c r="S43" s="169"/>
      <c r="T43" s="169"/>
      <c r="U43" s="169"/>
      <c r="V43" s="169"/>
      <c r="W43" s="169"/>
    </row>
    <row r="44" spans="2:23" x14ac:dyDescent="0.25">
      <c r="B44" s="169"/>
      <c r="C44" s="169" t="s">
        <v>271</v>
      </c>
      <c r="D44" s="235">
        <f>((Q12/1000)*E18*(1/(Q14*0.875)))-((Q6/1000)*E18*(1/(Q8*0.875)))</f>
        <v>0.53532182103610659</v>
      </c>
      <c r="E44" s="235">
        <f>((R12/1000)*E18*(1/(R14*0.875)))-((R6/1000)*E18*(1/(R8*0.875)))</f>
        <v>0.51805337519623218</v>
      </c>
      <c r="F44" s="235">
        <f>((S12/1000)*E18*(1/(S14*0.875)))-((S6/1000)*E18*(1/(S8*0.875)))</f>
        <v>0.61302982731554123</v>
      </c>
      <c r="P44" s="169"/>
      <c r="Q44" s="169"/>
      <c r="R44" s="169"/>
      <c r="S44" s="169"/>
      <c r="T44" s="169"/>
      <c r="U44" s="169"/>
      <c r="V44" s="169"/>
      <c r="W44" s="169"/>
    </row>
    <row r="45" spans="2:23" x14ac:dyDescent="0.25">
      <c r="B45" s="188"/>
      <c r="C45" s="188" t="s">
        <v>256</v>
      </c>
      <c r="D45" s="244">
        <f>-1*Q31</f>
        <v>8.729600000000004E-2</v>
      </c>
      <c r="E45" s="244">
        <f t="shared" ref="E45:F45" si="15">-1*R31</f>
        <v>0.15298461538461544</v>
      </c>
      <c r="F45" s="244">
        <f t="shared" si="15"/>
        <v>0.18167261538461532</v>
      </c>
      <c r="P45" s="169"/>
      <c r="Q45" s="187"/>
      <c r="R45" s="187"/>
      <c r="S45" s="187"/>
      <c r="T45" s="169"/>
      <c r="U45" s="187"/>
      <c r="V45" s="187"/>
      <c r="W45" s="187"/>
    </row>
    <row r="46" spans="2:23" x14ac:dyDescent="0.25">
      <c r="B46" t="str">
        <f>U3</f>
        <v>HP to HP</v>
      </c>
      <c r="C46" t="s">
        <v>255</v>
      </c>
      <c r="D46" s="186">
        <f>-1*U28</f>
        <v>284.79120879120876</v>
      </c>
      <c r="E46" s="186">
        <f t="shared" ref="E46:F46" si="16">-1*V28</f>
        <v>309.45054945054937</v>
      </c>
      <c r="F46" s="186">
        <f t="shared" si="16"/>
        <v>484.9065934065934</v>
      </c>
      <c r="P46" s="169"/>
      <c r="Q46" s="169"/>
      <c r="R46" s="169"/>
      <c r="S46" s="169"/>
      <c r="T46" s="169"/>
      <c r="U46" s="169"/>
      <c r="V46" s="169"/>
      <c r="W46" s="169"/>
    </row>
    <row r="47" spans="2:23" x14ac:dyDescent="0.25">
      <c r="C47" s="169" t="s">
        <v>271</v>
      </c>
      <c r="D47" s="235">
        <f>((U12/1000)*$E$18*(1/(U14*0.875)))-((U6/1000)*$E$18*(1/(U8*0.875)))</f>
        <v>0.53532182103610659</v>
      </c>
      <c r="E47" s="235">
        <f>((V12/1000)*$E$18*(1/(V14*0.875)))-((V6/1000)*$E$18*(1/(V8*0.875)))</f>
        <v>0.51805337519623218</v>
      </c>
      <c r="F47" s="235">
        <f>((W12/1000)*$E$18*(1/(W14*0.875)))-((W6/1000)*$E$18*(1/(W8*0.875)))</f>
        <v>0.61302982731554123</v>
      </c>
      <c r="G47" s="235"/>
      <c r="K47" s="235"/>
      <c r="L47" s="235"/>
      <c r="M47" s="235"/>
      <c r="N47" s="235"/>
      <c r="P47" s="169"/>
      <c r="Q47" s="169"/>
      <c r="R47" s="169"/>
      <c r="S47" s="169"/>
      <c r="T47" s="169"/>
      <c r="U47" s="169"/>
      <c r="V47" s="169"/>
      <c r="W47" s="169"/>
    </row>
    <row r="48" spans="2:23" x14ac:dyDescent="0.25">
      <c r="B48" s="188"/>
      <c r="C48" s="188" t="s">
        <v>256</v>
      </c>
      <c r="D48" s="244">
        <f>-1*U31</f>
        <v>0.12758646153846154</v>
      </c>
      <c r="E48" s="244">
        <f t="shared" ref="E48:F48" si="17">-1*V31</f>
        <v>0.13863384615384611</v>
      </c>
      <c r="F48" s="244">
        <f t="shared" si="17"/>
        <v>0.21723815384615386</v>
      </c>
      <c r="P48" s="169"/>
      <c r="Q48" s="187"/>
      <c r="R48" s="187"/>
      <c r="S48" s="187"/>
      <c r="T48" s="169"/>
      <c r="U48" s="187"/>
      <c r="V48" s="187"/>
      <c r="W48" s="187"/>
    </row>
    <row r="49" spans="2:23" x14ac:dyDescent="0.25">
      <c r="P49" s="169"/>
      <c r="Q49" s="234"/>
      <c r="R49" s="234"/>
      <c r="S49" s="234"/>
      <c r="T49" s="169"/>
      <c r="U49" s="234"/>
      <c r="V49" s="234"/>
      <c r="W49" s="234"/>
    </row>
    <row r="50" spans="2:23" x14ac:dyDescent="0.25">
      <c r="P50" s="169"/>
      <c r="Q50" s="169"/>
      <c r="R50" s="169"/>
      <c r="S50" s="169"/>
      <c r="T50" s="169"/>
      <c r="U50" s="169"/>
      <c r="V50" s="169"/>
      <c r="W50" s="169"/>
    </row>
    <row r="51" spans="2:23" x14ac:dyDescent="0.25">
      <c r="P51" s="169"/>
      <c r="Q51" s="234"/>
      <c r="R51" s="234"/>
      <c r="S51" s="234"/>
      <c r="T51" s="169"/>
      <c r="U51" s="234"/>
      <c r="V51" s="234"/>
      <c r="W51" s="234"/>
    </row>
    <row r="52" spans="2:23" x14ac:dyDescent="0.25">
      <c r="P52" s="169"/>
      <c r="Q52" s="235"/>
      <c r="R52" s="235"/>
      <c r="S52" s="235"/>
      <c r="T52" s="169"/>
      <c r="U52" s="235"/>
      <c r="V52" s="235"/>
      <c r="W52" s="235"/>
    </row>
    <row r="53" spans="2:23" x14ac:dyDescent="0.25">
      <c r="P53" s="169"/>
      <c r="Q53" s="235"/>
      <c r="R53" s="235"/>
      <c r="S53" s="235"/>
      <c r="T53" s="169"/>
      <c r="U53" s="235"/>
      <c r="V53" s="235"/>
      <c r="W53" s="235"/>
    </row>
    <row r="54" spans="2:23" x14ac:dyDescent="0.25">
      <c r="P54" s="169"/>
      <c r="Q54" s="170"/>
      <c r="R54" s="170"/>
      <c r="S54" s="170"/>
      <c r="T54" s="169"/>
      <c r="U54" s="170"/>
      <c r="V54" s="170"/>
      <c r="W54" s="170"/>
    </row>
    <row r="55" spans="2:23" x14ac:dyDescent="0.25">
      <c r="B55" s="257"/>
      <c r="P55" s="169"/>
      <c r="Q55" s="169"/>
      <c r="R55" s="169"/>
      <c r="S55" s="169"/>
      <c r="T55" s="169"/>
      <c r="U55" s="169"/>
      <c r="V55" s="169"/>
      <c r="W55" s="169"/>
    </row>
  </sheetData>
  <mergeCells count="9">
    <mergeCell ref="B41:F41"/>
    <mergeCell ref="Q3:S3"/>
    <mergeCell ref="U3:W3"/>
    <mergeCell ref="Q2:S2"/>
    <mergeCell ref="U2:W2"/>
    <mergeCell ref="B23:C23"/>
    <mergeCell ref="E23:I23"/>
    <mergeCell ref="E18:E20"/>
    <mergeCell ref="F18:F20"/>
  </mergeCells>
  <conditionalFormatting sqref="Q54:S54 U54:W54">
    <cfRule type="cellIs" dxfId="15" priority="17" operator="greaterThan">
      <formula>0</formula>
    </cfRule>
    <cfRule type="cellIs" dxfId="14" priority="18" operator="lessThan">
      <formula>0</formula>
    </cfRule>
  </conditionalFormatting>
  <conditionalFormatting sqref="Q51:S51 U51:W51">
    <cfRule type="cellIs" dxfId="13" priority="15" operator="lessThan">
      <formula>0</formula>
    </cfRule>
    <cfRule type="cellIs" dxfId="12" priority="16" operator="greaterThan">
      <formula>0</formula>
    </cfRule>
  </conditionalFormatting>
  <conditionalFormatting sqref="Q31:S31">
    <cfRule type="cellIs" dxfId="11" priority="13" operator="greaterThan">
      <formula>0</formula>
    </cfRule>
    <cfRule type="cellIs" dxfId="10" priority="14" operator="lessThan">
      <formula>0</formula>
    </cfRule>
  </conditionalFormatting>
  <conditionalFormatting sqref="Q30:S30">
    <cfRule type="cellIs" dxfId="9" priority="9" operator="lessThan">
      <formula>0</formula>
    </cfRule>
    <cfRule type="cellIs" dxfId="8" priority="10" operator="greaterThan">
      <formula>0</formula>
    </cfRule>
  </conditionalFormatting>
  <conditionalFormatting sqref="U30:W30">
    <cfRule type="cellIs" dxfId="7" priority="7" operator="lessThan">
      <formula>0</formula>
    </cfRule>
    <cfRule type="cellIs" dxfId="6" priority="8" operator="greaterThan">
      <formula>0</formula>
    </cfRule>
  </conditionalFormatting>
  <conditionalFormatting sqref="Q29:S29">
    <cfRule type="cellIs" dxfId="5" priority="5" operator="greaterThan">
      <formula>0</formula>
    </cfRule>
    <cfRule type="cellIs" dxfId="4" priority="6" operator="lessThan">
      <formula>0</formula>
    </cfRule>
  </conditionalFormatting>
  <conditionalFormatting sqref="U29:W29">
    <cfRule type="cellIs" dxfId="3" priority="3" operator="greaterThan">
      <formula>0</formula>
    </cfRule>
    <cfRule type="cellIs" dxfId="2" priority="4" operator="lessThan">
      <formula>0</formula>
    </cfRule>
  </conditionalFormatting>
  <conditionalFormatting sqref="U31:W31">
    <cfRule type="cellIs" dxfId="1" priority="1" operator="greaterThan">
      <formula>0</formula>
    </cfRule>
    <cfRule type="cellIs" dxfId="0" priority="2" operator="lessThan">
      <formula>0</formula>
    </cfRule>
  </conditionalFormatting>
  <hyperlinks>
    <hyperlink ref="E36" r:id="rId1" xr:uid="{5796E4B4-015B-4E06-86DA-DB6233F339A8}"/>
    <hyperlink ref="E35" r:id="rId2" xr:uid="{62B58435-4112-439E-92F7-74F4447DBC0E}"/>
    <hyperlink ref="D37" r:id="rId3" xr:uid="{69C23C77-DE7C-42F0-9D11-28DCDC03F2B9}"/>
  </hyperlinks>
  <pageMargins left="0.7" right="0.7" top="0.75" bottom="0.75" header="0.3" footer="0.3"/>
  <pageSetup orientation="portrait" horizontalDpi="4294967293"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3A675-8B1B-49EE-AA7D-3BF5C4686924}">
  <dimension ref="A1:S34"/>
  <sheetViews>
    <sheetView workbookViewId="0">
      <selection sqref="A1:D1"/>
    </sheetView>
  </sheetViews>
  <sheetFormatPr defaultRowHeight="15" x14ac:dyDescent="0.25"/>
  <cols>
    <col min="1" max="1" width="10.7109375" bestFit="1" customWidth="1"/>
    <col min="2" max="2" width="10.7109375" customWidth="1"/>
    <col min="6" max="6" width="10.7109375" bestFit="1" customWidth="1"/>
    <col min="7" max="7" width="10.7109375" customWidth="1"/>
    <col min="11" max="11" width="10.7109375" bestFit="1" customWidth="1"/>
    <col min="12" max="12" width="10.7109375" customWidth="1"/>
    <col min="16" max="16" width="10.7109375" bestFit="1" customWidth="1"/>
    <col min="17" max="17" width="10.7109375" customWidth="1"/>
  </cols>
  <sheetData>
    <row r="1" spans="1:19" ht="15.75" thickBot="1" x14ac:dyDescent="0.3">
      <c r="A1" s="340" t="s">
        <v>95</v>
      </c>
      <c r="B1" s="341"/>
      <c r="C1" s="341"/>
      <c r="D1" s="342"/>
      <c r="F1" s="340" t="s">
        <v>96</v>
      </c>
      <c r="G1" s="341"/>
      <c r="H1" s="341"/>
      <c r="I1" s="342"/>
      <c r="K1" s="340" t="s">
        <v>97</v>
      </c>
      <c r="L1" s="341"/>
      <c r="M1" s="341"/>
      <c r="N1" s="342"/>
      <c r="P1" s="340" t="s">
        <v>98</v>
      </c>
      <c r="Q1" s="341"/>
      <c r="R1" s="341"/>
      <c r="S1" s="342"/>
    </row>
    <row r="2" spans="1:19" x14ac:dyDescent="0.25">
      <c r="A2" s="267" t="s">
        <v>286</v>
      </c>
      <c r="B2" s="267" t="s">
        <v>287</v>
      </c>
      <c r="C2" t="s">
        <v>53</v>
      </c>
      <c r="F2" s="267" t="s">
        <v>286</v>
      </c>
      <c r="G2" s="267" t="s">
        <v>287</v>
      </c>
      <c r="H2" t="s">
        <v>53</v>
      </c>
      <c r="K2" s="267" t="s">
        <v>286</v>
      </c>
      <c r="L2" s="267" t="s">
        <v>287</v>
      </c>
      <c r="M2" t="s">
        <v>53</v>
      </c>
      <c r="P2" s="267" t="s">
        <v>286</v>
      </c>
      <c r="Q2" s="267" t="s">
        <v>287</v>
      </c>
      <c r="R2" t="s">
        <v>53</v>
      </c>
    </row>
    <row r="3" spans="1:19" x14ac:dyDescent="0.25">
      <c r="A3" s="268">
        <v>100</v>
      </c>
      <c r="B3" s="268">
        <v>105</v>
      </c>
      <c r="C3" s="196">
        <f>(H3+M3+R3)/3</f>
        <v>0.33333333333333331</v>
      </c>
      <c r="F3" s="268">
        <v>100</v>
      </c>
      <c r="G3" s="268">
        <v>105</v>
      </c>
      <c r="H3">
        <v>0</v>
      </c>
      <c r="K3" s="268">
        <v>100</v>
      </c>
      <c r="L3" s="268">
        <v>105</v>
      </c>
      <c r="M3">
        <v>0</v>
      </c>
      <c r="P3" s="268">
        <v>100</v>
      </c>
      <c r="Q3" s="268">
        <v>105</v>
      </c>
      <c r="R3">
        <v>1</v>
      </c>
    </row>
    <row r="4" spans="1:19" x14ac:dyDescent="0.25">
      <c r="A4" s="268">
        <v>95</v>
      </c>
      <c r="B4" s="268">
        <v>100</v>
      </c>
      <c r="C4" s="196">
        <f t="shared" ref="C4:C32" si="0">(H4+M4+R4)/3</f>
        <v>2.6666666666666665</v>
      </c>
      <c r="F4" s="268">
        <v>95</v>
      </c>
      <c r="G4" s="268">
        <v>100</v>
      </c>
      <c r="H4">
        <v>0</v>
      </c>
      <c r="K4" s="268">
        <v>95</v>
      </c>
      <c r="L4" s="268">
        <v>100</v>
      </c>
      <c r="M4">
        <v>2</v>
      </c>
      <c r="P4" s="268">
        <v>95</v>
      </c>
      <c r="Q4" s="268">
        <v>100</v>
      </c>
      <c r="R4">
        <v>6</v>
      </c>
    </row>
    <row r="5" spans="1:19" x14ac:dyDescent="0.25">
      <c r="A5" s="268">
        <v>90</v>
      </c>
      <c r="B5" s="268">
        <v>95</v>
      </c>
      <c r="C5" s="196">
        <f t="shared" si="0"/>
        <v>19.833333333333332</v>
      </c>
      <c r="F5" s="268">
        <v>90</v>
      </c>
      <c r="G5" s="268">
        <v>95</v>
      </c>
      <c r="H5">
        <v>2.5</v>
      </c>
      <c r="K5" s="268">
        <v>90</v>
      </c>
      <c r="L5" s="268">
        <v>95</v>
      </c>
      <c r="M5">
        <v>18</v>
      </c>
      <c r="P5" s="268">
        <v>90</v>
      </c>
      <c r="Q5" s="268">
        <v>95</v>
      </c>
      <c r="R5">
        <v>39</v>
      </c>
    </row>
    <row r="6" spans="1:19" x14ac:dyDescent="0.25">
      <c r="A6" s="268">
        <v>85</v>
      </c>
      <c r="B6" s="268">
        <v>90</v>
      </c>
      <c r="C6" s="196">
        <f t="shared" si="0"/>
        <v>82.333333333333329</v>
      </c>
      <c r="F6" s="268">
        <v>85</v>
      </c>
      <c r="G6" s="268">
        <v>90</v>
      </c>
      <c r="H6">
        <v>30</v>
      </c>
      <c r="K6" s="268">
        <v>85</v>
      </c>
      <c r="L6" s="268">
        <v>90</v>
      </c>
      <c r="M6">
        <v>73</v>
      </c>
      <c r="P6" s="268">
        <v>85</v>
      </c>
      <c r="Q6" s="268">
        <v>90</v>
      </c>
      <c r="R6">
        <v>144</v>
      </c>
    </row>
    <row r="7" spans="1:19" x14ac:dyDescent="0.25">
      <c r="A7" s="268">
        <v>80</v>
      </c>
      <c r="B7" s="268">
        <v>85</v>
      </c>
      <c r="C7" s="196">
        <f t="shared" si="0"/>
        <v>224.33333333333334</v>
      </c>
      <c r="F7" s="268">
        <v>80</v>
      </c>
      <c r="G7" s="268">
        <v>85</v>
      </c>
      <c r="H7">
        <v>133</v>
      </c>
      <c r="K7" s="268">
        <v>80</v>
      </c>
      <c r="L7" s="268">
        <v>85</v>
      </c>
      <c r="M7">
        <v>213</v>
      </c>
      <c r="P7" s="268">
        <v>80</v>
      </c>
      <c r="Q7" s="268">
        <v>85</v>
      </c>
      <c r="R7">
        <v>327</v>
      </c>
    </row>
    <row r="8" spans="1:19" x14ac:dyDescent="0.25">
      <c r="A8" s="268">
        <v>75</v>
      </c>
      <c r="B8" s="268">
        <v>80</v>
      </c>
      <c r="C8" s="196">
        <f t="shared" si="0"/>
        <v>367.66666666666669</v>
      </c>
      <c r="F8" s="268">
        <v>75</v>
      </c>
      <c r="G8" s="268">
        <v>80</v>
      </c>
      <c r="H8">
        <v>201</v>
      </c>
      <c r="K8" s="268">
        <v>75</v>
      </c>
      <c r="L8" s="268">
        <v>80</v>
      </c>
      <c r="M8">
        <v>367</v>
      </c>
      <c r="P8" s="268">
        <v>75</v>
      </c>
      <c r="Q8" s="268">
        <v>80</v>
      </c>
      <c r="R8">
        <v>535</v>
      </c>
    </row>
    <row r="9" spans="1:19" x14ac:dyDescent="0.25">
      <c r="A9" s="268">
        <v>70</v>
      </c>
      <c r="B9" s="268">
        <v>75</v>
      </c>
      <c r="C9" s="196">
        <f t="shared" si="0"/>
        <v>561.83333333333337</v>
      </c>
      <c r="F9" s="268">
        <v>70</v>
      </c>
      <c r="G9" s="268">
        <v>75</v>
      </c>
      <c r="H9">
        <v>460.5</v>
      </c>
      <c r="K9" s="268">
        <v>70</v>
      </c>
      <c r="L9" s="268">
        <v>75</v>
      </c>
      <c r="M9">
        <v>539</v>
      </c>
      <c r="P9" s="268">
        <v>70</v>
      </c>
      <c r="Q9" s="268">
        <v>75</v>
      </c>
      <c r="R9">
        <v>686</v>
      </c>
    </row>
    <row r="10" spans="1:19" x14ac:dyDescent="0.25">
      <c r="A10" s="268">
        <v>65</v>
      </c>
      <c r="B10" s="268">
        <v>70</v>
      </c>
      <c r="C10" s="196">
        <f t="shared" si="0"/>
        <v>658.66666666666663</v>
      </c>
      <c r="F10" s="268">
        <v>65</v>
      </c>
      <c r="G10" s="268">
        <v>70</v>
      </c>
      <c r="H10">
        <v>585</v>
      </c>
      <c r="K10" s="268">
        <v>65</v>
      </c>
      <c r="L10" s="268">
        <v>70</v>
      </c>
      <c r="M10">
        <v>642</v>
      </c>
      <c r="P10" s="268">
        <v>65</v>
      </c>
      <c r="Q10" s="268">
        <v>70</v>
      </c>
      <c r="R10">
        <v>749</v>
      </c>
    </row>
    <row r="11" spans="1:19" x14ac:dyDescent="0.25">
      <c r="A11" s="268">
        <v>60</v>
      </c>
      <c r="B11" s="268">
        <v>65</v>
      </c>
      <c r="C11" s="196">
        <f t="shared" si="0"/>
        <v>714.5</v>
      </c>
      <c r="F11" s="268">
        <v>60</v>
      </c>
      <c r="G11" s="268">
        <v>65</v>
      </c>
      <c r="H11">
        <v>779.5</v>
      </c>
      <c r="K11" s="268">
        <v>60</v>
      </c>
      <c r="L11" s="268">
        <v>65</v>
      </c>
      <c r="M11">
        <v>694</v>
      </c>
      <c r="P11" s="268">
        <v>60</v>
      </c>
      <c r="Q11" s="268">
        <v>65</v>
      </c>
      <c r="R11">
        <v>670</v>
      </c>
    </row>
    <row r="12" spans="1:19" x14ac:dyDescent="0.25">
      <c r="A12" s="268">
        <v>55</v>
      </c>
      <c r="B12" s="268">
        <v>60</v>
      </c>
      <c r="C12" s="196">
        <f t="shared" si="0"/>
        <v>577.33333333333337</v>
      </c>
      <c r="F12" s="268">
        <v>55</v>
      </c>
      <c r="G12" s="268">
        <v>60</v>
      </c>
      <c r="H12">
        <v>507</v>
      </c>
      <c r="K12" s="268">
        <v>55</v>
      </c>
      <c r="L12" s="268">
        <v>60</v>
      </c>
      <c r="M12">
        <v>653</v>
      </c>
      <c r="P12" s="268">
        <v>55</v>
      </c>
      <c r="Q12" s="268">
        <v>60</v>
      </c>
      <c r="R12">
        <v>572</v>
      </c>
    </row>
    <row r="13" spans="1:19" x14ac:dyDescent="0.25">
      <c r="A13" s="268">
        <v>50</v>
      </c>
      <c r="B13" s="268">
        <v>55</v>
      </c>
      <c r="C13" s="196">
        <f t="shared" si="0"/>
        <v>601</v>
      </c>
      <c r="F13" s="268">
        <v>50</v>
      </c>
      <c r="G13" s="268">
        <v>55</v>
      </c>
      <c r="H13">
        <v>738</v>
      </c>
      <c r="K13" s="268">
        <v>50</v>
      </c>
      <c r="L13" s="268">
        <v>55</v>
      </c>
      <c r="M13">
        <v>569</v>
      </c>
      <c r="P13" s="268">
        <v>50</v>
      </c>
      <c r="Q13" s="268">
        <v>55</v>
      </c>
      <c r="R13">
        <v>496</v>
      </c>
    </row>
    <row r="14" spans="1:19" x14ac:dyDescent="0.25">
      <c r="A14" s="268">
        <v>45</v>
      </c>
      <c r="B14" s="268">
        <v>50</v>
      </c>
      <c r="C14" s="196">
        <f t="shared" si="0"/>
        <v>549.66666666666663</v>
      </c>
      <c r="F14" s="268">
        <v>45</v>
      </c>
      <c r="G14" s="268">
        <v>50</v>
      </c>
      <c r="H14">
        <v>565</v>
      </c>
      <c r="K14" s="268">
        <v>45</v>
      </c>
      <c r="L14" s="268">
        <v>50</v>
      </c>
      <c r="M14">
        <v>557</v>
      </c>
      <c r="P14" s="268">
        <v>45</v>
      </c>
      <c r="Q14" s="268">
        <v>50</v>
      </c>
      <c r="R14">
        <v>527</v>
      </c>
    </row>
    <row r="15" spans="1:19" x14ac:dyDescent="0.25">
      <c r="A15" s="268">
        <v>40</v>
      </c>
      <c r="B15" s="268">
        <v>45</v>
      </c>
      <c r="C15" s="196">
        <f t="shared" si="0"/>
        <v>521</v>
      </c>
      <c r="F15" s="268">
        <v>40</v>
      </c>
      <c r="G15" s="268">
        <v>45</v>
      </c>
      <c r="H15">
        <v>543</v>
      </c>
      <c r="K15" s="268">
        <v>40</v>
      </c>
      <c r="L15" s="268">
        <v>45</v>
      </c>
      <c r="M15">
        <v>515</v>
      </c>
      <c r="P15" s="268">
        <v>40</v>
      </c>
      <c r="Q15" s="268">
        <v>45</v>
      </c>
      <c r="R15">
        <v>505</v>
      </c>
    </row>
    <row r="16" spans="1:19" x14ac:dyDescent="0.25">
      <c r="A16" s="268">
        <v>35</v>
      </c>
      <c r="B16" s="268">
        <v>40</v>
      </c>
      <c r="C16" s="196">
        <f t="shared" si="0"/>
        <v>588.66666666666663</v>
      </c>
      <c r="F16" s="268">
        <v>35</v>
      </c>
      <c r="G16" s="268">
        <v>40</v>
      </c>
      <c r="H16">
        <v>630</v>
      </c>
      <c r="K16" s="268">
        <v>35</v>
      </c>
      <c r="L16" s="268">
        <v>40</v>
      </c>
      <c r="M16">
        <v>561</v>
      </c>
      <c r="P16" s="268">
        <v>35</v>
      </c>
      <c r="Q16" s="268">
        <v>40</v>
      </c>
      <c r="R16">
        <v>575</v>
      </c>
    </row>
    <row r="17" spans="1:18" x14ac:dyDescent="0.25">
      <c r="A17" s="268">
        <v>30</v>
      </c>
      <c r="B17" s="268">
        <v>35</v>
      </c>
      <c r="C17" s="196">
        <f t="shared" si="0"/>
        <v>647.33333333333337</v>
      </c>
      <c r="F17" s="268">
        <v>30</v>
      </c>
      <c r="G17" s="268">
        <v>35</v>
      </c>
      <c r="H17">
        <v>535</v>
      </c>
      <c r="K17" s="268">
        <v>30</v>
      </c>
      <c r="L17" s="268">
        <v>35</v>
      </c>
      <c r="M17">
        <v>703</v>
      </c>
      <c r="P17" s="268">
        <v>30</v>
      </c>
      <c r="Q17" s="268">
        <v>35</v>
      </c>
      <c r="R17">
        <v>704</v>
      </c>
    </row>
    <row r="18" spans="1:18" x14ac:dyDescent="0.25">
      <c r="A18" s="268">
        <v>25</v>
      </c>
      <c r="B18" s="268">
        <v>30</v>
      </c>
      <c r="C18" s="196">
        <f t="shared" si="0"/>
        <v>630.83333333333337</v>
      </c>
      <c r="F18" s="268">
        <v>25</v>
      </c>
      <c r="G18" s="268">
        <v>30</v>
      </c>
      <c r="H18">
        <v>749.5</v>
      </c>
      <c r="K18" s="268">
        <v>25</v>
      </c>
      <c r="L18" s="268">
        <v>30</v>
      </c>
      <c r="M18">
        <v>600</v>
      </c>
      <c r="P18" s="268">
        <v>25</v>
      </c>
      <c r="Q18" s="268">
        <v>30</v>
      </c>
      <c r="R18">
        <v>543</v>
      </c>
    </row>
    <row r="19" spans="1:18" x14ac:dyDescent="0.25">
      <c r="A19" s="268">
        <v>20</v>
      </c>
      <c r="B19" s="268">
        <v>25</v>
      </c>
      <c r="C19" s="196">
        <f t="shared" si="0"/>
        <v>481.66666666666669</v>
      </c>
      <c r="F19" s="268">
        <v>20</v>
      </c>
      <c r="G19" s="268">
        <v>25</v>
      </c>
      <c r="H19">
        <v>519</v>
      </c>
      <c r="K19" s="268">
        <v>20</v>
      </c>
      <c r="L19" s="268">
        <v>25</v>
      </c>
      <c r="M19">
        <v>483</v>
      </c>
      <c r="P19" s="268">
        <v>20</v>
      </c>
      <c r="Q19" s="268">
        <v>25</v>
      </c>
      <c r="R19">
        <v>443</v>
      </c>
    </row>
    <row r="20" spans="1:18" x14ac:dyDescent="0.25">
      <c r="A20" s="268">
        <v>15</v>
      </c>
      <c r="B20" s="268">
        <v>20</v>
      </c>
      <c r="C20" s="196">
        <f t="shared" si="0"/>
        <v>431</v>
      </c>
      <c r="F20" s="268">
        <v>15</v>
      </c>
      <c r="G20" s="268">
        <v>20</v>
      </c>
      <c r="H20">
        <v>489</v>
      </c>
      <c r="K20" s="268">
        <v>15</v>
      </c>
      <c r="L20" s="268">
        <v>20</v>
      </c>
      <c r="M20">
        <v>415</v>
      </c>
      <c r="P20" s="268">
        <v>15</v>
      </c>
      <c r="Q20" s="268">
        <v>20</v>
      </c>
      <c r="R20">
        <v>389</v>
      </c>
    </row>
    <row r="21" spans="1:18" x14ac:dyDescent="0.25">
      <c r="A21" s="268">
        <v>10</v>
      </c>
      <c r="B21" s="268">
        <v>15</v>
      </c>
      <c r="C21" s="196">
        <f t="shared" si="0"/>
        <v>282</v>
      </c>
      <c r="F21" s="268">
        <v>10</v>
      </c>
      <c r="G21" s="268">
        <v>15</v>
      </c>
      <c r="H21">
        <v>259</v>
      </c>
      <c r="K21" s="268">
        <v>10</v>
      </c>
      <c r="L21" s="268">
        <v>15</v>
      </c>
      <c r="M21">
        <v>314</v>
      </c>
      <c r="P21" s="268">
        <v>10</v>
      </c>
      <c r="Q21" s="268">
        <v>15</v>
      </c>
      <c r="R21">
        <v>273</v>
      </c>
    </row>
    <row r="22" spans="1:18" x14ac:dyDescent="0.25">
      <c r="A22" s="268">
        <v>5</v>
      </c>
      <c r="B22" s="268">
        <v>10</v>
      </c>
      <c r="C22" s="196">
        <f t="shared" si="0"/>
        <v>256.33333333333331</v>
      </c>
      <c r="F22" s="268">
        <v>5</v>
      </c>
      <c r="G22" s="268">
        <v>10</v>
      </c>
      <c r="H22">
        <v>319</v>
      </c>
      <c r="K22" s="268">
        <v>5</v>
      </c>
      <c r="L22" s="268">
        <v>10</v>
      </c>
      <c r="M22">
        <v>248</v>
      </c>
      <c r="P22" s="268">
        <v>5</v>
      </c>
      <c r="Q22" s="268">
        <v>10</v>
      </c>
      <c r="R22">
        <v>202</v>
      </c>
    </row>
    <row r="23" spans="1:18" x14ac:dyDescent="0.25">
      <c r="A23" s="268">
        <v>0</v>
      </c>
      <c r="B23" s="268">
        <v>5</v>
      </c>
      <c r="C23" s="196">
        <f t="shared" si="0"/>
        <v>192.33333333333334</v>
      </c>
      <c r="F23" s="268">
        <v>0</v>
      </c>
      <c r="G23" s="268">
        <v>5</v>
      </c>
      <c r="H23">
        <v>224</v>
      </c>
      <c r="K23" s="268">
        <v>0</v>
      </c>
      <c r="L23" s="268">
        <v>5</v>
      </c>
      <c r="M23">
        <v>196</v>
      </c>
      <c r="P23" s="268">
        <v>0</v>
      </c>
      <c r="Q23" s="268">
        <v>5</v>
      </c>
      <c r="R23">
        <v>157</v>
      </c>
    </row>
    <row r="24" spans="1:18" x14ac:dyDescent="0.25">
      <c r="A24" s="268">
        <v>-5</v>
      </c>
      <c r="B24" s="268">
        <v>0</v>
      </c>
      <c r="C24" s="196">
        <f t="shared" si="0"/>
        <v>146.83333333333334</v>
      </c>
      <c r="F24" s="268">
        <v>-5</v>
      </c>
      <c r="G24" s="268">
        <v>0</v>
      </c>
      <c r="H24">
        <v>178.5</v>
      </c>
      <c r="K24" s="268">
        <v>-5</v>
      </c>
      <c r="L24" s="268">
        <v>0</v>
      </c>
      <c r="M24">
        <v>148</v>
      </c>
      <c r="P24" s="268">
        <v>-5</v>
      </c>
      <c r="Q24" s="268">
        <v>0</v>
      </c>
      <c r="R24">
        <v>114</v>
      </c>
    </row>
    <row r="25" spans="1:18" x14ac:dyDescent="0.25">
      <c r="A25" s="268">
        <v>-10</v>
      </c>
      <c r="B25" s="268">
        <v>-5</v>
      </c>
      <c r="C25" s="196">
        <f t="shared" si="0"/>
        <v>105</v>
      </c>
      <c r="F25" s="268">
        <v>-10</v>
      </c>
      <c r="G25" s="268">
        <v>-5</v>
      </c>
      <c r="H25">
        <v>141</v>
      </c>
      <c r="K25" s="268">
        <v>-10</v>
      </c>
      <c r="L25" s="268">
        <v>-5</v>
      </c>
      <c r="M25">
        <v>107</v>
      </c>
      <c r="P25" s="268">
        <v>-10</v>
      </c>
      <c r="Q25" s="268">
        <v>-5</v>
      </c>
      <c r="R25">
        <v>67</v>
      </c>
    </row>
    <row r="26" spans="1:18" x14ac:dyDescent="0.25">
      <c r="A26" s="268">
        <v>-15</v>
      </c>
      <c r="B26" s="268">
        <v>-10</v>
      </c>
      <c r="C26" s="196">
        <f t="shared" si="0"/>
        <v>52.833333333333336</v>
      </c>
      <c r="F26" s="268">
        <v>-15</v>
      </c>
      <c r="G26" s="268">
        <v>-10</v>
      </c>
      <c r="H26">
        <v>62.5</v>
      </c>
      <c r="K26" s="268">
        <v>-15</v>
      </c>
      <c r="L26" s="268">
        <v>-10</v>
      </c>
      <c r="M26">
        <v>68</v>
      </c>
      <c r="P26" s="268">
        <v>-15</v>
      </c>
      <c r="Q26" s="268">
        <v>-10</v>
      </c>
      <c r="R26">
        <v>28</v>
      </c>
    </row>
    <row r="27" spans="1:18" x14ac:dyDescent="0.25">
      <c r="A27" s="268">
        <v>-20</v>
      </c>
      <c r="B27" s="268">
        <v>-15</v>
      </c>
      <c r="C27" s="196">
        <f t="shared" si="0"/>
        <v>39</v>
      </c>
      <c r="F27" s="268">
        <v>-20</v>
      </c>
      <c r="G27" s="268">
        <v>-15</v>
      </c>
      <c r="H27">
        <v>68</v>
      </c>
      <c r="K27" s="268">
        <v>-20</v>
      </c>
      <c r="L27" s="268">
        <v>-15</v>
      </c>
      <c r="M27">
        <v>44</v>
      </c>
      <c r="P27" s="268">
        <v>-20</v>
      </c>
      <c r="Q27" s="268">
        <v>-15</v>
      </c>
      <c r="R27">
        <v>5</v>
      </c>
    </row>
    <row r="28" spans="1:18" x14ac:dyDescent="0.25">
      <c r="A28" s="268">
        <v>-25</v>
      </c>
      <c r="B28" s="268">
        <v>-20</v>
      </c>
      <c r="C28" s="196">
        <f t="shared" si="0"/>
        <v>16.666666666666668</v>
      </c>
      <c r="F28" s="268">
        <v>-25</v>
      </c>
      <c r="G28" s="268">
        <v>-20</v>
      </c>
      <c r="H28">
        <v>28</v>
      </c>
      <c r="K28" s="268">
        <v>-25</v>
      </c>
      <c r="L28" s="268">
        <v>-20</v>
      </c>
      <c r="M28">
        <v>20</v>
      </c>
      <c r="P28" s="268">
        <v>-25</v>
      </c>
      <c r="Q28" s="268">
        <v>-20</v>
      </c>
      <c r="R28">
        <v>2</v>
      </c>
    </row>
    <row r="29" spans="1:18" x14ac:dyDescent="0.25">
      <c r="A29" s="268">
        <v>-30</v>
      </c>
      <c r="B29" s="268">
        <v>-25</v>
      </c>
      <c r="C29" s="196">
        <f t="shared" si="0"/>
        <v>6.333333333333333</v>
      </c>
      <c r="F29" s="268">
        <v>-30</v>
      </c>
      <c r="G29" s="268">
        <v>-25</v>
      </c>
      <c r="H29">
        <v>10</v>
      </c>
      <c r="K29" s="268">
        <v>-30</v>
      </c>
      <c r="L29" s="268">
        <v>-25</v>
      </c>
      <c r="M29">
        <v>8</v>
      </c>
      <c r="P29" s="268">
        <v>-30</v>
      </c>
      <c r="Q29" s="268">
        <v>-25</v>
      </c>
      <c r="R29">
        <v>1</v>
      </c>
    </row>
    <row r="30" spans="1:18" x14ac:dyDescent="0.25">
      <c r="A30" s="268">
        <v>-35</v>
      </c>
      <c r="B30" s="268">
        <v>-30</v>
      </c>
      <c r="C30" s="196">
        <f t="shared" si="0"/>
        <v>1.6666666666666667</v>
      </c>
      <c r="F30" s="268">
        <v>-35</v>
      </c>
      <c r="G30" s="268">
        <v>-30</v>
      </c>
      <c r="H30">
        <v>3</v>
      </c>
      <c r="K30" s="268">
        <v>-35</v>
      </c>
      <c r="L30" s="268">
        <v>-30</v>
      </c>
      <c r="M30">
        <v>2</v>
      </c>
      <c r="P30" s="268">
        <v>-35</v>
      </c>
      <c r="Q30" s="268">
        <v>-30</v>
      </c>
      <c r="R30">
        <v>0</v>
      </c>
    </row>
    <row r="31" spans="1:18" x14ac:dyDescent="0.25">
      <c r="A31" s="268">
        <v>-40</v>
      </c>
      <c r="B31" s="268">
        <v>-35</v>
      </c>
      <c r="C31" s="196">
        <f t="shared" si="0"/>
        <v>0.33333333333333331</v>
      </c>
      <c r="F31" s="268">
        <v>-40</v>
      </c>
      <c r="G31" s="268">
        <v>-35</v>
      </c>
      <c r="H31">
        <v>0</v>
      </c>
      <c r="K31" s="268">
        <v>-40</v>
      </c>
      <c r="L31" s="268">
        <v>-35</v>
      </c>
      <c r="M31">
        <v>1</v>
      </c>
      <c r="P31" s="268">
        <v>-40</v>
      </c>
      <c r="Q31" s="268">
        <v>-35</v>
      </c>
      <c r="R31">
        <v>0</v>
      </c>
    </row>
    <row r="32" spans="1:18" x14ac:dyDescent="0.25">
      <c r="A32" s="268">
        <v>-45</v>
      </c>
      <c r="B32" s="268">
        <v>-40</v>
      </c>
      <c r="C32" s="196">
        <f t="shared" si="0"/>
        <v>0</v>
      </c>
      <c r="F32" s="268">
        <v>-45</v>
      </c>
      <c r="G32" s="268">
        <v>-40</v>
      </c>
      <c r="H32">
        <v>0</v>
      </c>
      <c r="K32" s="268">
        <v>-45</v>
      </c>
      <c r="L32" s="268">
        <v>-40</v>
      </c>
      <c r="M32">
        <v>0</v>
      </c>
      <c r="P32" s="268">
        <v>-45</v>
      </c>
      <c r="Q32" s="268">
        <v>-40</v>
      </c>
      <c r="R32">
        <v>0</v>
      </c>
    </row>
    <row r="33" spans="1:18" x14ac:dyDescent="0.25">
      <c r="A33" s="268">
        <v>-50</v>
      </c>
      <c r="B33" s="268">
        <v>-45</v>
      </c>
      <c r="C33" s="196">
        <f>(H33+M33+R33)/3</f>
        <v>0</v>
      </c>
      <c r="F33" s="268">
        <v>-50</v>
      </c>
      <c r="G33" s="268">
        <v>-45</v>
      </c>
      <c r="H33">
        <v>0</v>
      </c>
      <c r="K33" s="268">
        <v>-50</v>
      </c>
      <c r="L33" s="268">
        <v>-45</v>
      </c>
      <c r="M33">
        <v>0</v>
      </c>
      <c r="P33" s="268">
        <v>-50</v>
      </c>
      <c r="Q33" s="268">
        <v>-45</v>
      </c>
      <c r="R33">
        <v>0</v>
      </c>
    </row>
    <row r="34" spans="1:18" x14ac:dyDescent="0.25">
      <c r="C34" s="269">
        <f>SUM(C3:C33)</f>
        <v>8760.0000000000018</v>
      </c>
      <c r="H34" s="269">
        <f>SUM(H3:H33)</f>
        <v>8760</v>
      </c>
      <c r="M34" s="269">
        <f>SUM(M3:M33)</f>
        <v>8760</v>
      </c>
      <c r="R34" s="269">
        <f>SUM(R3:R33)</f>
        <v>8760</v>
      </c>
    </row>
  </sheetData>
  <mergeCells count="4">
    <mergeCell ref="A1:D1"/>
    <mergeCell ref="F1:I1"/>
    <mergeCell ref="K1:N1"/>
    <mergeCell ref="P1:S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467D0-4DC6-425B-BB95-5DD99CAD2314}">
  <dimension ref="B1:AR41"/>
  <sheetViews>
    <sheetView workbookViewId="0">
      <selection activeCell="N30" sqref="N30"/>
    </sheetView>
  </sheetViews>
  <sheetFormatPr defaultRowHeight="15" x14ac:dyDescent="0.25"/>
  <cols>
    <col min="2" max="2" width="11" customWidth="1"/>
    <col min="14" max="15" width="13.7109375" customWidth="1"/>
    <col min="16" max="16" width="14.140625" customWidth="1"/>
    <col min="17" max="26" width="13.7109375" customWidth="1"/>
    <col min="30" max="31" width="9.140625" bestFit="1" customWidth="1"/>
    <col min="32" max="32" width="9" bestFit="1" customWidth="1"/>
    <col min="33" max="33" width="10.140625" bestFit="1" customWidth="1"/>
    <col min="34" max="34" width="13.7109375" bestFit="1" customWidth="1"/>
    <col min="35" max="35" width="9" bestFit="1" customWidth="1"/>
    <col min="36" max="36" width="9.140625" bestFit="1" customWidth="1"/>
    <col min="37" max="37" width="9" bestFit="1" customWidth="1"/>
    <col min="38" max="38" width="10.140625" bestFit="1" customWidth="1"/>
    <col min="39" max="39" width="13.7109375" bestFit="1" customWidth="1"/>
    <col min="40" max="40" width="9" bestFit="1" customWidth="1"/>
    <col min="41" max="41" width="9.140625" bestFit="1" customWidth="1"/>
    <col min="42" max="42" width="9" bestFit="1" customWidth="1"/>
    <col min="43" max="43" width="10.140625" bestFit="1" customWidth="1"/>
    <col min="44" max="44" width="13.7109375" bestFit="1" customWidth="1"/>
  </cols>
  <sheetData>
    <row r="1" spans="2:44" x14ac:dyDescent="0.25">
      <c r="B1" s="293" t="s">
        <v>315</v>
      </c>
    </row>
    <row r="2" spans="2:44" x14ac:dyDescent="0.25">
      <c r="M2" s="5" t="s">
        <v>304</v>
      </c>
    </row>
    <row r="3" spans="2:44" x14ac:dyDescent="0.25">
      <c r="B3" s="5" t="s">
        <v>292</v>
      </c>
      <c r="M3" s="289">
        <f>'Heating Savings_Fuel Switching'!C11</f>
        <v>30</v>
      </c>
      <c r="N3" s="293" t="s">
        <v>316</v>
      </c>
      <c r="AB3" s="5" t="s">
        <v>310</v>
      </c>
    </row>
    <row r="4" spans="2:44" x14ac:dyDescent="0.25">
      <c r="B4" s="5"/>
      <c r="M4" s="293" t="s">
        <v>311</v>
      </c>
      <c r="P4" s="291"/>
      <c r="Q4" s="291"/>
      <c r="R4" s="294">
        <v>6</v>
      </c>
      <c r="S4" s="290"/>
      <c r="V4">
        <v>10</v>
      </c>
      <c r="Z4">
        <v>14</v>
      </c>
    </row>
    <row r="5" spans="2:44" ht="15.75" thickBot="1" x14ac:dyDescent="0.3">
      <c r="C5" t="s">
        <v>291</v>
      </c>
      <c r="D5" t="s">
        <v>299</v>
      </c>
      <c r="E5" t="s">
        <v>291</v>
      </c>
      <c r="G5" t="s">
        <v>293</v>
      </c>
      <c r="O5" s="344" t="s">
        <v>305</v>
      </c>
      <c r="P5" s="344"/>
      <c r="Q5" s="344"/>
      <c r="R5" s="344"/>
      <c r="S5" s="345" t="s">
        <v>48</v>
      </c>
      <c r="T5" s="345"/>
      <c r="U5" s="345"/>
      <c r="V5" s="345"/>
      <c r="W5" s="344" t="s">
        <v>48</v>
      </c>
      <c r="X5" s="344"/>
      <c r="Y5" s="344"/>
      <c r="Z5" s="344"/>
      <c r="AB5" s="1" t="str">
        <f>'Heating Savings_Fuel Switching'!B34</f>
        <v>Bin Model (hours averaged across weather stations)</v>
      </c>
      <c r="AC5" s="1"/>
      <c r="AD5" s="343" t="str">
        <f>'Heating Savings_Fuel Switching'!D34</f>
        <v>Zone 1</v>
      </c>
      <c r="AE5" s="343"/>
      <c r="AF5" s="343"/>
      <c r="AG5" s="343"/>
      <c r="AH5" s="343"/>
      <c r="AI5" s="343" t="str">
        <f>'Heating Savings_Fuel Switching'!I34</f>
        <v>Zone 2</v>
      </c>
      <c r="AJ5" s="343"/>
      <c r="AK5" s="343"/>
      <c r="AL5" s="343"/>
      <c r="AM5" s="343"/>
      <c r="AN5" s="343" t="str">
        <f>'Heating Savings_Fuel Switching'!N34</f>
        <v>Zone 3</v>
      </c>
      <c r="AO5" s="343"/>
      <c r="AP5" s="343"/>
      <c r="AQ5" s="343"/>
      <c r="AR5" s="343"/>
    </row>
    <row r="6" spans="2:44" ht="28.9" customHeight="1" thickBot="1" x14ac:dyDescent="0.3">
      <c r="B6" s="275" t="s">
        <v>294</v>
      </c>
      <c r="C6" s="270" t="s">
        <v>288</v>
      </c>
      <c r="D6" s="270" t="s">
        <v>289</v>
      </c>
      <c r="E6" s="270" t="s">
        <v>290</v>
      </c>
      <c r="G6" s="270" t="s">
        <v>288</v>
      </c>
      <c r="H6" s="281" t="s">
        <v>289</v>
      </c>
      <c r="I6" s="270" t="s">
        <v>290</v>
      </c>
      <c r="M6" s="180" t="s">
        <v>302</v>
      </c>
      <c r="N6" t="s">
        <v>303</v>
      </c>
      <c r="O6" t="s">
        <v>306</v>
      </c>
      <c r="P6" s="180" t="s">
        <v>307</v>
      </c>
      <c r="Q6" s="180" t="s">
        <v>308</v>
      </c>
      <c r="R6" s="180" t="s">
        <v>309</v>
      </c>
      <c r="S6" t="s">
        <v>306</v>
      </c>
      <c r="T6" s="180" t="s">
        <v>307</v>
      </c>
      <c r="U6" s="180" t="s">
        <v>308</v>
      </c>
      <c r="V6" s="180" t="s">
        <v>309</v>
      </c>
      <c r="W6" t="s">
        <v>306</v>
      </c>
      <c r="X6" s="180" t="s">
        <v>307</v>
      </c>
      <c r="Y6" s="180" t="s">
        <v>308</v>
      </c>
      <c r="Z6" s="180" t="s">
        <v>309</v>
      </c>
      <c r="AB6" s="1" t="str">
        <f>'Heating Savings_Fuel Switching'!B35</f>
        <v>Min</v>
      </c>
      <c r="AC6" s="1" t="str">
        <f>'Heating Savings_Fuel Switching'!C35</f>
        <v>Max</v>
      </c>
      <c r="AD6" s="1" t="str">
        <f>'Heating Savings_Fuel Switching'!D35</f>
        <v>Avg DB, F</v>
      </c>
      <c r="AE6" s="1" t="str">
        <f>'Heating Savings_Fuel Switching'!E35</f>
        <v>Hours</v>
      </c>
      <c r="AF6" s="1" t="str">
        <f>'Heating Savings_Fuel Switching'!F35</f>
        <v>% of Load by Bin</v>
      </c>
      <c r="AG6" s="1" t="str">
        <f>'Heating Savings_Fuel Switching'!G35</f>
        <v>Heating Load, Btu/hr</v>
      </c>
      <c r="AH6" s="1" t="str">
        <f>'Heating Savings_Fuel Switching'!H35</f>
        <v>Total Heat Btu</v>
      </c>
      <c r="AI6" s="1" t="str">
        <f>'Heating Savings_Fuel Switching'!I35</f>
        <v>Avg DB, F</v>
      </c>
      <c r="AJ6" s="1" t="str">
        <f>'Heating Savings_Fuel Switching'!J35</f>
        <v>Hours</v>
      </c>
      <c r="AK6" s="1" t="str">
        <f>'Heating Savings_Fuel Switching'!K35</f>
        <v>% of Load by Bin</v>
      </c>
      <c r="AL6" s="1" t="str">
        <f>'Heating Savings_Fuel Switching'!L35</f>
        <v>Heating Load, Btu/hr</v>
      </c>
      <c r="AM6" s="1" t="str">
        <f>'Heating Savings_Fuel Switching'!M35</f>
        <v>Total Heat Btu</v>
      </c>
      <c r="AN6" s="1" t="str">
        <f>'Heating Savings_Fuel Switching'!N35</f>
        <v>Avg DB, F</v>
      </c>
      <c r="AO6" s="1" t="str">
        <f>'Heating Savings_Fuel Switching'!O35</f>
        <v>Hours</v>
      </c>
      <c r="AP6" s="1" t="str">
        <f>'Heating Savings_Fuel Switching'!P35</f>
        <v>% of Load by Bin</v>
      </c>
      <c r="AQ6" s="1" t="str">
        <f>'Heating Savings_Fuel Switching'!Q35</f>
        <v>Heating Load, Btu/hr</v>
      </c>
      <c r="AR6" s="1" t="str">
        <f>'Heating Savings_Fuel Switching'!R35</f>
        <v>Total Heat Btu</v>
      </c>
    </row>
    <row r="7" spans="2:44" ht="15.75" thickBot="1" x14ac:dyDescent="0.3">
      <c r="B7" s="271">
        <v>10</v>
      </c>
      <c r="C7" s="272">
        <v>1.66</v>
      </c>
      <c r="D7" s="273">
        <v>1.84</v>
      </c>
      <c r="E7" s="272">
        <v>2.02</v>
      </c>
      <c r="G7" s="12">
        <f t="shared" ref="G7:G13" si="0">C7/$C$15</f>
        <v>0.61940298507462677</v>
      </c>
      <c r="H7" s="282">
        <f t="shared" ref="H7:H13" si="1">D7/$D$15</f>
        <v>0.54761904761904767</v>
      </c>
      <c r="I7" s="12">
        <f t="shared" ref="I7:I13" si="2">E7/$E$15</f>
        <v>0.505</v>
      </c>
      <c r="M7" s="1">
        <v>55</v>
      </c>
      <c r="N7" s="40">
        <f>'ASHP Derating Scale'!H16</f>
        <v>0.99404761904761907</v>
      </c>
      <c r="O7" s="292">
        <f>AH16</f>
        <v>1358291.0250000001</v>
      </c>
      <c r="P7" s="280">
        <f>O7/$O$27</f>
        <v>2.1704275927864416E-2</v>
      </c>
      <c r="Q7" s="69">
        <f>O7</f>
        <v>1358291.0250000001</v>
      </c>
      <c r="R7" s="280">
        <f>(N7*O7)/Q7</f>
        <v>0.99404761904761907</v>
      </c>
      <c r="S7" s="60">
        <f>AM16</f>
        <v>1749435.9750000001</v>
      </c>
      <c r="T7" s="280">
        <f>S7/$S$27</f>
        <v>3.0415746187218862E-2</v>
      </c>
      <c r="U7" s="69">
        <f>S7</f>
        <v>1749435.9750000001</v>
      </c>
      <c r="V7" s="280">
        <f>(N7*S7)/U7</f>
        <v>0.99404761904761907</v>
      </c>
      <c r="W7" s="60">
        <f>AR16</f>
        <v>1532430.9000000001</v>
      </c>
      <c r="X7" s="280">
        <f>W7/$W$27</f>
        <v>3.073592741285474E-2</v>
      </c>
      <c r="Y7" s="69">
        <f>W7</f>
        <v>1532430.9000000001</v>
      </c>
      <c r="Z7" s="280">
        <f>(N7*W7)/Y7</f>
        <v>0.99404761904761907</v>
      </c>
      <c r="AB7" s="1">
        <f>'Heating Savings_Fuel Switching'!B36</f>
        <v>100</v>
      </c>
      <c r="AC7" s="1">
        <f>'Heating Savings_Fuel Switching'!C36</f>
        <v>105</v>
      </c>
      <c r="AD7" s="58">
        <f>'Heating Savings_Fuel Switching'!E36</f>
        <v>0</v>
      </c>
      <c r="AE7" s="213">
        <f>'Heating Savings_Fuel Switching'!E36</f>
        <v>0</v>
      </c>
      <c r="AF7" s="12">
        <f>'Heating Savings_Fuel Switching'!F36</f>
        <v>0</v>
      </c>
      <c r="AG7" s="213">
        <f>'Heating Savings_Fuel Switching'!G36</f>
        <v>0</v>
      </c>
      <c r="AH7" s="213">
        <f>'Heating Savings_Fuel Switching'!H36</f>
        <v>0</v>
      </c>
      <c r="AI7" s="58">
        <f>'Heating Savings_Fuel Switching'!I36</f>
        <v>102.5</v>
      </c>
      <c r="AJ7" s="213">
        <f>'Heating Savings_Fuel Switching'!J36</f>
        <v>0</v>
      </c>
      <c r="AK7" s="12">
        <f>'Heating Savings_Fuel Switching'!K36</f>
        <v>0</v>
      </c>
      <c r="AL7" s="213">
        <f>'Heating Savings_Fuel Switching'!L36</f>
        <v>0</v>
      </c>
      <c r="AM7" s="213">
        <f>'Heating Savings_Fuel Switching'!M36</f>
        <v>0</v>
      </c>
      <c r="AN7" s="58">
        <f>'Heating Savings_Fuel Switching'!N36</f>
        <v>102.5</v>
      </c>
      <c r="AO7" s="213">
        <f>'Heating Savings_Fuel Switching'!O36</f>
        <v>1</v>
      </c>
      <c r="AP7" s="12">
        <f>'Heating Savings_Fuel Switching'!P36</f>
        <v>0</v>
      </c>
      <c r="AQ7" s="213">
        <f>'Heating Savings_Fuel Switching'!Q36</f>
        <v>0</v>
      </c>
      <c r="AR7" s="213">
        <f>'Heating Savings_Fuel Switching'!R36</f>
        <v>0</v>
      </c>
    </row>
    <row r="8" spans="2:44" ht="15.75" thickBot="1" x14ac:dyDescent="0.3">
      <c r="B8" s="271">
        <v>15</v>
      </c>
      <c r="C8" s="272">
        <v>1.7</v>
      </c>
      <c r="D8" s="273">
        <v>1.92</v>
      </c>
      <c r="E8" s="272">
        <v>2.14</v>
      </c>
      <c r="G8" s="12">
        <f t="shared" si="0"/>
        <v>0.63432835820895517</v>
      </c>
      <c r="H8" s="282">
        <f t="shared" si="1"/>
        <v>0.5714285714285714</v>
      </c>
      <c r="I8" s="12">
        <f t="shared" si="2"/>
        <v>0.53500000000000003</v>
      </c>
      <c r="M8" s="1">
        <v>50</v>
      </c>
      <c r="N8" s="40">
        <f>'ASHP Derating Scale'!H15</f>
        <v>1</v>
      </c>
      <c r="O8" s="292">
        <f t="shared" ref="O8:O26" si="3">AH17</f>
        <v>2918660.8500000006</v>
      </c>
      <c r="P8" s="280">
        <f t="shared" ref="P8:P26" si="4">O8/$O$27</f>
        <v>4.6637590370778824E-2</v>
      </c>
      <c r="Q8" s="69">
        <f>Q7+O8</f>
        <v>4276951.8750000009</v>
      </c>
      <c r="R8" s="280">
        <f>((N8*O8)+(N7*O7))/Q8</f>
        <v>0.9981096196868009</v>
      </c>
      <c r="S8" s="60">
        <f t="shared" ref="S8:S26" si="5">AM17</f>
        <v>2250295.4250000003</v>
      </c>
      <c r="T8" s="280">
        <f>S8/$S$27</f>
        <v>3.9123703565693398E-2</v>
      </c>
      <c r="U8" s="69">
        <f>U7+S8</f>
        <v>3999731.4000000004</v>
      </c>
      <c r="V8" s="280">
        <f>((N8*S8)+(N7*S7))/U8</f>
        <v>0.99739649783107931</v>
      </c>
      <c r="W8" s="60">
        <f t="shared" ref="W8:W26" si="6">AR17</f>
        <v>1961593.2000000004</v>
      </c>
      <c r="X8" s="280">
        <f t="shared" ref="X8:X26" si="7">W8/$W$27</f>
        <v>3.9343624700304239E-2</v>
      </c>
      <c r="Y8" s="69">
        <f>Y7+W8</f>
        <v>3494024.1000000006</v>
      </c>
      <c r="Z8" s="280">
        <f>((N8*W8)+(N7*W7))/Y8</f>
        <v>0.99738936760625097</v>
      </c>
      <c r="AB8" s="1">
        <f>'Heating Savings_Fuel Switching'!B37</f>
        <v>95</v>
      </c>
      <c r="AC8" s="1">
        <f>'Heating Savings_Fuel Switching'!C37</f>
        <v>100</v>
      </c>
      <c r="AD8" s="58">
        <f>'Heating Savings_Fuel Switching'!E37</f>
        <v>0</v>
      </c>
      <c r="AE8" s="213">
        <f>'Heating Savings_Fuel Switching'!E37</f>
        <v>0</v>
      </c>
      <c r="AF8" s="12">
        <f>'Heating Savings_Fuel Switching'!F37</f>
        <v>0</v>
      </c>
      <c r="AG8" s="213">
        <f>'Heating Savings_Fuel Switching'!G37</f>
        <v>0</v>
      </c>
      <c r="AH8" s="213">
        <f>'Heating Savings_Fuel Switching'!H37</f>
        <v>0</v>
      </c>
      <c r="AI8" s="58">
        <f>'Heating Savings_Fuel Switching'!I37</f>
        <v>97.5</v>
      </c>
      <c r="AJ8" s="213">
        <f>'Heating Savings_Fuel Switching'!J37</f>
        <v>2</v>
      </c>
      <c r="AK8" s="12">
        <f>'Heating Savings_Fuel Switching'!K37</f>
        <v>0</v>
      </c>
      <c r="AL8" s="213">
        <f>'Heating Savings_Fuel Switching'!L37</f>
        <v>0</v>
      </c>
      <c r="AM8" s="213">
        <f>'Heating Savings_Fuel Switching'!M37</f>
        <v>0</v>
      </c>
      <c r="AN8" s="58">
        <f>'Heating Savings_Fuel Switching'!N37</f>
        <v>97.5</v>
      </c>
      <c r="AO8" s="213">
        <f>'Heating Savings_Fuel Switching'!O37</f>
        <v>6</v>
      </c>
      <c r="AP8" s="12">
        <f>'Heating Savings_Fuel Switching'!P37</f>
        <v>0</v>
      </c>
      <c r="AQ8" s="213">
        <f>'Heating Savings_Fuel Switching'!Q37</f>
        <v>0</v>
      </c>
      <c r="AR8" s="213">
        <f>'Heating Savings_Fuel Switching'!R37</f>
        <v>0</v>
      </c>
    </row>
    <row r="9" spans="2:44" ht="15.75" thickBot="1" x14ac:dyDescent="0.3">
      <c r="B9" s="271">
        <v>20</v>
      </c>
      <c r="C9" s="272">
        <v>1.68</v>
      </c>
      <c r="D9" s="273">
        <v>2.0499999999999998</v>
      </c>
      <c r="E9" s="272">
        <v>2.42</v>
      </c>
      <c r="G9" s="12">
        <f t="shared" si="0"/>
        <v>0.62686567164179097</v>
      </c>
      <c r="H9" s="282">
        <f t="shared" si="1"/>
        <v>0.61011904761904756</v>
      </c>
      <c r="I9" s="12">
        <f t="shared" si="2"/>
        <v>0.60499999999999998</v>
      </c>
      <c r="M9" s="1">
        <v>45</v>
      </c>
      <c r="N9" s="40">
        <f>'ASHP Derating Scale'!H14</f>
        <v>0.99404761904761907</v>
      </c>
      <c r="O9" s="292">
        <f t="shared" si="3"/>
        <v>2955274.8750000005</v>
      </c>
      <c r="P9" s="280">
        <f t="shared" si="4"/>
        <v>4.7222649748190022E-2</v>
      </c>
      <c r="Q9" s="69">
        <f t="shared" ref="Q9:Q26" si="8">Q8+O9</f>
        <v>7232226.7500000019</v>
      </c>
      <c r="R9" s="280">
        <f>((N9*O9)+(N8*O8)+(N7*O7))/Q9</f>
        <v>0.99644978118253813</v>
      </c>
      <c r="S9" s="60">
        <f t="shared" si="5"/>
        <v>2913430.2750000004</v>
      </c>
      <c r="T9" s="280">
        <f t="shared" ref="T9:T26" si="9">S9/$S$27</f>
        <v>5.0652985902247302E-2</v>
      </c>
      <c r="U9" s="69">
        <f t="shared" ref="U9:U26" si="10">U8+S9</f>
        <v>6913161.6750000007</v>
      </c>
      <c r="V9" s="280">
        <f>((N9*S9)+(N8*S8)+(N7*S7))/U9</f>
        <v>0.99598517182805502</v>
      </c>
      <c r="W9" s="60">
        <f t="shared" si="6"/>
        <v>2756513.0250000004</v>
      </c>
      <c r="X9" s="280">
        <f t="shared" si="7"/>
        <v>5.5287311322806558E-2</v>
      </c>
      <c r="Y9" s="69">
        <f t="shared" ref="Y9:Y26" si="11">Y8+W9</f>
        <v>6250537.1250000009</v>
      </c>
      <c r="Z9" s="280">
        <f>((N9*W9)+(N8*W8)+(N7*W7))/Y9</f>
        <v>0.99591564250968267</v>
      </c>
      <c r="AB9" s="1">
        <f>'Heating Savings_Fuel Switching'!B38</f>
        <v>90</v>
      </c>
      <c r="AC9" s="1">
        <f>'Heating Savings_Fuel Switching'!C38</f>
        <v>95</v>
      </c>
      <c r="AD9" s="58">
        <f>'Heating Savings_Fuel Switching'!E38</f>
        <v>2.5</v>
      </c>
      <c r="AE9" s="213">
        <f>'Heating Savings_Fuel Switching'!E38</f>
        <v>2.5</v>
      </c>
      <c r="AF9" s="12">
        <f>'Heating Savings_Fuel Switching'!F38</f>
        <v>0</v>
      </c>
      <c r="AG9" s="213">
        <f>'Heating Savings_Fuel Switching'!G38</f>
        <v>0</v>
      </c>
      <c r="AH9" s="213">
        <f>'Heating Savings_Fuel Switching'!H38</f>
        <v>0</v>
      </c>
      <c r="AI9" s="58">
        <f>'Heating Savings_Fuel Switching'!I38</f>
        <v>92.5</v>
      </c>
      <c r="AJ9" s="213">
        <f>'Heating Savings_Fuel Switching'!J38</f>
        <v>18</v>
      </c>
      <c r="AK9" s="12">
        <f>'Heating Savings_Fuel Switching'!K38</f>
        <v>0</v>
      </c>
      <c r="AL9" s="213">
        <f>'Heating Savings_Fuel Switching'!L38</f>
        <v>0</v>
      </c>
      <c r="AM9" s="213">
        <f>'Heating Savings_Fuel Switching'!M38</f>
        <v>0</v>
      </c>
      <c r="AN9" s="58">
        <f>'Heating Savings_Fuel Switching'!N38</f>
        <v>92.5</v>
      </c>
      <c r="AO9" s="213">
        <f>'Heating Savings_Fuel Switching'!O38</f>
        <v>39</v>
      </c>
      <c r="AP9" s="12">
        <f>'Heating Savings_Fuel Switching'!P38</f>
        <v>0</v>
      </c>
      <c r="AQ9" s="213">
        <f>'Heating Savings_Fuel Switching'!Q38</f>
        <v>0</v>
      </c>
      <c r="AR9" s="213">
        <f>'Heating Savings_Fuel Switching'!R38</f>
        <v>0</v>
      </c>
    </row>
    <row r="10" spans="2:44" ht="15.75" thickBot="1" x14ac:dyDescent="0.3">
      <c r="B10" s="271">
        <v>25</v>
      </c>
      <c r="C10" s="272">
        <v>1.71</v>
      </c>
      <c r="D10" s="273">
        <v>2.2599999999999998</v>
      </c>
      <c r="E10" s="272">
        <v>2.8</v>
      </c>
      <c r="G10" s="12">
        <f t="shared" si="0"/>
        <v>0.63805970149253721</v>
      </c>
      <c r="H10" s="282">
        <f t="shared" si="1"/>
        <v>0.67261904761904756</v>
      </c>
      <c r="I10" s="12">
        <f t="shared" si="2"/>
        <v>0.7</v>
      </c>
      <c r="M10" s="1">
        <v>40</v>
      </c>
      <c r="N10" s="40">
        <f>'ASHP Derating Scale'!H13</f>
        <v>0.94642857142857151</v>
      </c>
      <c r="O10" s="292">
        <f t="shared" si="3"/>
        <v>3532934.475000001</v>
      </c>
      <c r="P10" s="280">
        <f t="shared" si="4"/>
        <v>5.6453133584141009E-2</v>
      </c>
      <c r="Q10" s="69">
        <f t="shared" si="8"/>
        <v>10765161.225000003</v>
      </c>
      <c r="R10" s="280">
        <f>((N10*O10)+(N9*O9)+(N8*O8)+(N7*O7))/Q10</f>
        <v>0.98003370967860248</v>
      </c>
      <c r="S10" s="60">
        <f t="shared" si="5"/>
        <v>3350757.3750000009</v>
      </c>
      <c r="T10" s="280">
        <f t="shared" si="9"/>
        <v>5.825636794336058E-2</v>
      </c>
      <c r="U10" s="69">
        <f t="shared" si="10"/>
        <v>10263919.050000001</v>
      </c>
      <c r="V10" s="280">
        <f>((N10*S10)+(N9*S9)+(N8*S8)+(N7*S7))/U10</f>
        <v>0.97980693197059088</v>
      </c>
      <c r="W10" s="60">
        <f t="shared" si="6"/>
        <v>3285694.1250000009</v>
      </c>
      <c r="X10" s="280">
        <f t="shared" si="7"/>
        <v>6.5901083126712778E-2</v>
      </c>
      <c r="Y10" s="69">
        <f t="shared" si="11"/>
        <v>9536231.2500000019</v>
      </c>
      <c r="Z10" s="280">
        <f>((N10*W10)+(N9*W9)+(N8*W8)+(N7*W7))/Y10</f>
        <v>0.97886494664755541</v>
      </c>
      <c r="AB10" s="1">
        <f>'Heating Savings_Fuel Switching'!B39</f>
        <v>85</v>
      </c>
      <c r="AC10" s="1">
        <f>'Heating Savings_Fuel Switching'!C39</f>
        <v>90</v>
      </c>
      <c r="AD10" s="58">
        <f>'Heating Savings_Fuel Switching'!E39</f>
        <v>30</v>
      </c>
      <c r="AE10" s="213">
        <f>'Heating Savings_Fuel Switching'!E39</f>
        <v>30</v>
      </c>
      <c r="AF10" s="12">
        <f>'Heating Savings_Fuel Switching'!F39</f>
        <v>0</v>
      </c>
      <c r="AG10" s="213">
        <f>'Heating Savings_Fuel Switching'!G39</f>
        <v>0</v>
      </c>
      <c r="AH10" s="213">
        <f>'Heating Savings_Fuel Switching'!H39</f>
        <v>0</v>
      </c>
      <c r="AI10" s="58">
        <f>'Heating Savings_Fuel Switching'!I39</f>
        <v>87.5</v>
      </c>
      <c r="AJ10" s="213">
        <f>'Heating Savings_Fuel Switching'!J39</f>
        <v>73</v>
      </c>
      <c r="AK10" s="12">
        <f>'Heating Savings_Fuel Switching'!K39</f>
        <v>0</v>
      </c>
      <c r="AL10" s="213">
        <f>'Heating Savings_Fuel Switching'!L39</f>
        <v>0</v>
      </c>
      <c r="AM10" s="213">
        <f>'Heating Savings_Fuel Switching'!M39</f>
        <v>0</v>
      </c>
      <c r="AN10" s="58">
        <f>'Heating Savings_Fuel Switching'!N39</f>
        <v>87.5</v>
      </c>
      <c r="AO10" s="213">
        <f>'Heating Savings_Fuel Switching'!O39</f>
        <v>144</v>
      </c>
      <c r="AP10" s="12">
        <f>'Heating Savings_Fuel Switching'!P39</f>
        <v>0</v>
      </c>
      <c r="AQ10" s="213">
        <f>'Heating Savings_Fuel Switching'!Q39</f>
        <v>0</v>
      </c>
      <c r="AR10" s="213">
        <f>'Heating Savings_Fuel Switching'!R39</f>
        <v>0</v>
      </c>
    </row>
    <row r="11" spans="2:44" ht="15.75" thickBot="1" x14ac:dyDescent="0.3">
      <c r="B11" s="271">
        <v>30</v>
      </c>
      <c r="C11" s="272">
        <v>1.89</v>
      </c>
      <c r="D11" s="273">
        <v>2.56</v>
      </c>
      <c r="E11" s="272">
        <v>3.22</v>
      </c>
      <c r="G11" s="12">
        <f t="shared" si="0"/>
        <v>0.7052238805970148</v>
      </c>
      <c r="H11" s="282">
        <f t="shared" si="1"/>
        <v>0.76190476190476197</v>
      </c>
      <c r="I11" s="12">
        <f t="shared" si="2"/>
        <v>0.80500000000000005</v>
      </c>
      <c r="M11" s="1">
        <v>35</v>
      </c>
      <c r="N11" s="40">
        <f>'ASHP Derating Scale'!H12</f>
        <v>0.85119047619047616</v>
      </c>
      <c r="O11" s="292">
        <f t="shared" si="3"/>
        <v>4902707.2500000009</v>
      </c>
      <c r="P11" s="280">
        <f t="shared" si="4"/>
        <v>7.8340877609451451E-2</v>
      </c>
      <c r="Q11" s="69">
        <f t="shared" si="8"/>
        <v>15667868.475000005</v>
      </c>
      <c r="R11" s="280">
        <f>((N11*O11)+(N10*O10)+(N9*O9)+(N8*O8)+(N7*O7))/Q11</f>
        <v>0.93971676063453791</v>
      </c>
      <c r="S11" s="60">
        <f t="shared" si="5"/>
        <v>4365744.0750000011</v>
      </c>
      <c r="T11" s="280">
        <f t="shared" si="9"/>
        <v>7.590295706795136E-2</v>
      </c>
      <c r="U11" s="69">
        <f t="shared" si="10"/>
        <v>14629663.125000002</v>
      </c>
      <c r="V11" s="280">
        <f>((N11*S11)+(N10*S10)+(N9*S9)+(N8*S8)+(N7*S7))/U11</f>
        <v>0.94142556085002127</v>
      </c>
      <c r="W11" s="60">
        <f t="shared" si="6"/>
        <v>4474693.1250000009</v>
      </c>
      <c r="X11" s="280">
        <f t="shared" si="7"/>
        <v>8.9748805694795208E-2</v>
      </c>
      <c r="Y11" s="69">
        <f t="shared" si="11"/>
        <v>14010924.375000004</v>
      </c>
      <c r="Z11" s="280">
        <f>((N11*W11)+(N10*W10)+(N9*W9)+(N8*W8)+(N7*W7))/Y11</f>
        <v>0.93808933042827869</v>
      </c>
      <c r="AB11" s="1">
        <f>'Heating Savings_Fuel Switching'!B40</f>
        <v>80</v>
      </c>
      <c r="AC11" s="1">
        <f>'Heating Savings_Fuel Switching'!C40</f>
        <v>85</v>
      </c>
      <c r="AD11" s="58">
        <f>'Heating Savings_Fuel Switching'!E40</f>
        <v>133</v>
      </c>
      <c r="AE11" s="213">
        <f>'Heating Savings_Fuel Switching'!E40</f>
        <v>133</v>
      </c>
      <c r="AF11" s="12">
        <f>'Heating Savings_Fuel Switching'!F40</f>
        <v>0</v>
      </c>
      <c r="AG11" s="213">
        <f>'Heating Savings_Fuel Switching'!G40</f>
        <v>0</v>
      </c>
      <c r="AH11" s="213">
        <f>'Heating Savings_Fuel Switching'!H40</f>
        <v>0</v>
      </c>
      <c r="AI11" s="58">
        <f>'Heating Savings_Fuel Switching'!I40</f>
        <v>82.5</v>
      </c>
      <c r="AJ11" s="213">
        <f>'Heating Savings_Fuel Switching'!J40</f>
        <v>213</v>
      </c>
      <c r="AK11" s="12">
        <f>'Heating Savings_Fuel Switching'!K40</f>
        <v>0</v>
      </c>
      <c r="AL11" s="213">
        <f>'Heating Savings_Fuel Switching'!L40</f>
        <v>0</v>
      </c>
      <c r="AM11" s="213">
        <f>'Heating Savings_Fuel Switching'!M40</f>
        <v>0</v>
      </c>
      <c r="AN11" s="58">
        <f>'Heating Savings_Fuel Switching'!N40</f>
        <v>82.5</v>
      </c>
      <c r="AO11" s="213">
        <f>'Heating Savings_Fuel Switching'!O40</f>
        <v>327</v>
      </c>
      <c r="AP11" s="12">
        <f>'Heating Savings_Fuel Switching'!P40</f>
        <v>0</v>
      </c>
      <c r="AQ11" s="213">
        <f>'Heating Savings_Fuel Switching'!Q40</f>
        <v>0</v>
      </c>
      <c r="AR11" s="213">
        <f>'Heating Savings_Fuel Switching'!R40</f>
        <v>0</v>
      </c>
    </row>
    <row r="12" spans="2:44" ht="15.75" thickBot="1" x14ac:dyDescent="0.3">
      <c r="B12" s="271">
        <v>35</v>
      </c>
      <c r="C12" s="272">
        <v>2.09</v>
      </c>
      <c r="D12" s="273">
        <v>2.86</v>
      </c>
      <c r="E12" s="272">
        <v>3.61</v>
      </c>
      <c r="G12" s="12">
        <f t="shared" si="0"/>
        <v>0.77985074626865658</v>
      </c>
      <c r="H12" s="282">
        <f t="shared" si="1"/>
        <v>0.85119047619047616</v>
      </c>
      <c r="I12" s="12">
        <f t="shared" si="2"/>
        <v>0.90249999999999997</v>
      </c>
      <c r="M12" s="1">
        <v>30</v>
      </c>
      <c r="N12" s="40">
        <f>'ASHP Derating Scale'!H11</f>
        <v>0.76190476190476197</v>
      </c>
      <c r="O12" s="292">
        <f t="shared" si="3"/>
        <v>4845936.3750000009</v>
      </c>
      <c r="P12" s="280">
        <f t="shared" si="4"/>
        <v>7.7433729794301673E-2</v>
      </c>
      <c r="Q12" s="69">
        <f t="shared" si="8"/>
        <v>20513804.850000005</v>
      </c>
      <c r="R12" s="280">
        <f>((N12*O12)+(N11*O11)+(N10*O10)+(N9*O9)+(N8*O8)+(N7*O7))/Q12</f>
        <v>0.8977125766785774</v>
      </c>
      <c r="S12" s="60">
        <f t="shared" si="5"/>
        <v>6367650.9750000015</v>
      </c>
      <c r="T12" s="280">
        <f t="shared" si="9"/>
        <v>0.11070817030866006</v>
      </c>
      <c r="U12" s="69">
        <f t="shared" si="10"/>
        <v>20997314.100000001</v>
      </c>
      <c r="V12" s="280">
        <f>((N12*S12)+(N11*S11)+(N10*S10)+(N9*S9)+(N8*S8)+(N7*S7))/U12</f>
        <v>0.88698403632967537</v>
      </c>
      <c r="W12" s="60">
        <f t="shared" si="6"/>
        <v>6376708.8000000017</v>
      </c>
      <c r="X12" s="280">
        <f t="shared" si="7"/>
        <v>0.12789748549817945</v>
      </c>
      <c r="Y12" s="69">
        <f t="shared" si="11"/>
        <v>20387633.175000004</v>
      </c>
      <c r="Z12" s="280">
        <f>((N12*W12)+(N11*W11)+(N10*W10)+(N9*W9)+(N8*W8)+(N7*W7))/Y12</f>
        <v>0.88298348862287701</v>
      </c>
      <c r="AB12" s="1">
        <f>'Heating Savings_Fuel Switching'!B41</f>
        <v>75</v>
      </c>
      <c r="AC12" s="1">
        <f>'Heating Savings_Fuel Switching'!C41</f>
        <v>80</v>
      </c>
      <c r="AD12" s="58">
        <f>'Heating Savings_Fuel Switching'!E41</f>
        <v>201</v>
      </c>
      <c r="AE12" s="213">
        <f>'Heating Savings_Fuel Switching'!E41</f>
        <v>201</v>
      </c>
      <c r="AF12" s="12">
        <f>'Heating Savings_Fuel Switching'!F41</f>
        <v>0</v>
      </c>
      <c r="AG12" s="213">
        <f>'Heating Savings_Fuel Switching'!G41</f>
        <v>0</v>
      </c>
      <c r="AH12" s="213">
        <f>'Heating Savings_Fuel Switching'!H41</f>
        <v>0</v>
      </c>
      <c r="AI12" s="58">
        <f>'Heating Savings_Fuel Switching'!I41</f>
        <v>77.5</v>
      </c>
      <c r="AJ12" s="213">
        <f>'Heating Savings_Fuel Switching'!J41</f>
        <v>367</v>
      </c>
      <c r="AK12" s="12">
        <f>'Heating Savings_Fuel Switching'!K41</f>
        <v>0</v>
      </c>
      <c r="AL12" s="213">
        <f>'Heating Savings_Fuel Switching'!L41</f>
        <v>0</v>
      </c>
      <c r="AM12" s="213">
        <f>'Heating Savings_Fuel Switching'!M41</f>
        <v>0</v>
      </c>
      <c r="AN12" s="58">
        <f>'Heating Savings_Fuel Switching'!N41</f>
        <v>77.5</v>
      </c>
      <c r="AO12" s="213">
        <f>'Heating Savings_Fuel Switching'!O41</f>
        <v>535</v>
      </c>
      <c r="AP12" s="12">
        <f>'Heating Savings_Fuel Switching'!P41</f>
        <v>0</v>
      </c>
      <c r="AQ12" s="213">
        <f>'Heating Savings_Fuel Switching'!Q41</f>
        <v>0</v>
      </c>
      <c r="AR12" s="213">
        <f>'Heating Savings_Fuel Switching'!R41</f>
        <v>0</v>
      </c>
    </row>
    <row r="13" spans="2:44" ht="15.75" thickBot="1" x14ac:dyDescent="0.3">
      <c r="B13" s="271">
        <v>40</v>
      </c>
      <c r="C13" s="272">
        <v>2.4300000000000002</v>
      </c>
      <c r="D13" s="273">
        <v>3.18</v>
      </c>
      <c r="E13" s="272">
        <v>3.92</v>
      </c>
      <c r="G13" s="12">
        <f t="shared" si="0"/>
        <v>0.90671641791044777</v>
      </c>
      <c r="H13" s="282">
        <f t="shared" si="1"/>
        <v>0.94642857142857151</v>
      </c>
      <c r="I13" s="12">
        <f t="shared" si="2"/>
        <v>0.98</v>
      </c>
      <c r="M13" s="1">
        <v>25</v>
      </c>
      <c r="N13" s="40">
        <f>'ASHP Derating Scale'!H10</f>
        <v>0.67261904761904756</v>
      </c>
      <c r="O13" s="292">
        <f t="shared" si="3"/>
        <v>7745014.4625000022</v>
      </c>
      <c r="P13" s="280">
        <f t="shared" si="4"/>
        <v>0.12375840513221423</v>
      </c>
      <c r="Q13" s="69">
        <f t="shared" si="8"/>
        <v>28258819.312500007</v>
      </c>
      <c r="R13" s="280">
        <f>((N13*O13)+(N12*O12)+(N11*O11)+(N10*O10)+(N9*O9)+(N8*O8)+(N7*O7))/Q13</f>
        <v>0.83602023848488416</v>
      </c>
      <c r="S13" s="60">
        <f t="shared" si="5"/>
        <v>6200145.0000000019</v>
      </c>
      <c r="T13" s="280">
        <f t="shared" si="9"/>
        <v>0.10779590641718349</v>
      </c>
      <c r="U13" s="69">
        <f t="shared" si="10"/>
        <v>27197459.100000001</v>
      </c>
      <c r="V13" s="280">
        <f>((N13*S13)+(N12*S12)+(N11*S11)+(N10*S10)+(N9*S9)+(N8*S8)+(N7*S7))/U13</f>
        <v>0.83811572079908025</v>
      </c>
      <c r="W13" s="60">
        <f t="shared" si="6"/>
        <v>5611131.2250000015</v>
      </c>
      <c r="X13" s="280">
        <f t="shared" si="7"/>
        <v>0.11254231563433152</v>
      </c>
      <c r="Y13" s="69">
        <f t="shared" si="11"/>
        <v>25998764.400000006</v>
      </c>
      <c r="Z13" s="280">
        <f>((N13*W13)+(N12*W12)+(N11*W11)+(N10*W10)+(N9*W9)+(N8*W8)+(N7*W7))/Y13</f>
        <v>0.83758200471442401</v>
      </c>
      <c r="AB13" s="1">
        <f>'Heating Savings_Fuel Switching'!B42</f>
        <v>70</v>
      </c>
      <c r="AC13" s="1">
        <f>'Heating Savings_Fuel Switching'!C42</f>
        <v>75</v>
      </c>
      <c r="AD13" s="58">
        <f>'Heating Savings_Fuel Switching'!E42</f>
        <v>460.5</v>
      </c>
      <c r="AE13" s="213">
        <f>'Heating Savings_Fuel Switching'!E42</f>
        <v>460.5</v>
      </c>
      <c r="AF13" s="12">
        <f>'Heating Savings_Fuel Switching'!F42</f>
        <v>0</v>
      </c>
      <c r="AG13" s="213">
        <f>'Heating Savings_Fuel Switching'!G42</f>
        <v>0</v>
      </c>
      <c r="AH13" s="213">
        <f>'Heating Savings_Fuel Switching'!H42</f>
        <v>0</v>
      </c>
      <c r="AI13" s="58">
        <f>'Heating Savings_Fuel Switching'!I42</f>
        <v>72.5</v>
      </c>
      <c r="AJ13" s="213">
        <f>'Heating Savings_Fuel Switching'!J42</f>
        <v>539</v>
      </c>
      <c r="AK13" s="12">
        <f>'Heating Savings_Fuel Switching'!K42</f>
        <v>0</v>
      </c>
      <c r="AL13" s="213">
        <f>'Heating Savings_Fuel Switching'!L42</f>
        <v>0</v>
      </c>
      <c r="AM13" s="213">
        <f>'Heating Savings_Fuel Switching'!M42</f>
        <v>0</v>
      </c>
      <c r="AN13" s="58">
        <f>'Heating Savings_Fuel Switching'!N42</f>
        <v>72.5</v>
      </c>
      <c r="AO13" s="213">
        <f>'Heating Savings_Fuel Switching'!O42</f>
        <v>686</v>
      </c>
      <c r="AP13" s="12">
        <f>'Heating Savings_Fuel Switching'!P42</f>
        <v>0</v>
      </c>
      <c r="AQ13" s="213">
        <f>'Heating Savings_Fuel Switching'!Q42</f>
        <v>0</v>
      </c>
      <c r="AR13" s="213">
        <f>'Heating Savings_Fuel Switching'!R42</f>
        <v>0</v>
      </c>
    </row>
    <row r="14" spans="2:44" ht="15.75" thickBot="1" x14ac:dyDescent="0.3">
      <c r="B14" s="271">
        <v>45</v>
      </c>
      <c r="C14" s="272">
        <v>2.66</v>
      </c>
      <c r="D14" s="273">
        <v>3.34</v>
      </c>
      <c r="E14" s="272">
        <v>4</v>
      </c>
      <c r="G14" s="12">
        <f>C14/$C$15</f>
        <v>0.9925373134328358</v>
      </c>
      <c r="H14" s="282">
        <f>D14/$D$15</f>
        <v>0.99404761904761907</v>
      </c>
      <c r="I14" s="12">
        <f>E14/$E$15</f>
        <v>1</v>
      </c>
      <c r="M14" s="1">
        <v>20</v>
      </c>
      <c r="N14" s="40">
        <f>'ASHP Derating Scale'!H9</f>
        <v>0.61011904761904756</v>
      </c>
      <c r="O14" s="292">
        <f t="shared" si="3"/>
        <v>6025239.6750000007</v>
      </c>
      <c r="P14" s="280">
        <f t="shared" si="4"/>
        <v>9.6277941936424194E-2</v>
      </c>
      <c r="Q14" s="69">
        <f t="shared" si="8"/>
        <v>34284058.987500012</v>
      </c>
      <c r="R14" s="280">
        <f>((N14*O14)+(N13*O13)+(N12*O12)+(N11*O11)+(N10*O10)+(N9*O9)+(N8*O8)+(N7*O7))/Q14</f>
        <v>0.79631931455604443</v>
      </c>
      <c r="S14" s="60">
        <f t="shared" si="5"/>
        <v>5607303.9750000006</v>
      </c>
      <c r="T14" s="280">
        <f t="shared" si="9"/>
        <v>9.748875462457747E-2</v>
      </c>
      <c r="U14" s="69">
        <f t="shared" si="10"/>
        <v>32804763.075000003</v>
      </c>
      <c r="V14" s="280">
        <f>((N14*S14)+(N13*S13)+(N12*S12)+(N11*S11)+(N10*S10)+(N9*S9)+(N8*S8)+(N7*S7))/U14</f>
        <v>0.79914434798695777</v>
      </c>
      <c r="W14" s="60">
        <f t="shared" si="6"/>
        <v>5142930.9750000006</v>
      </c>
      <c r="X14" s="280">
        <f t="shared" si="7"/>
        <v>0.10315163518102007</v>
      </c>
      <c r="Y14" s="69">
        <f t="shared" si="11"/>
        <v>31141695.375000007</v>
      </c>
      <c r="Z14" s="280">
        <f>((N14*W14)+(N13*W13)+(N12*W12)+(N11*W11)+(N10*W10)+(N9*W9)+(N8*W8)+(N7*W7))/Y14</f>
        <v>0.80001737396378014</v>
      </c>
      <c r="AB14" s="1">
        <f>'Heating Savings_Fuel Switching'!B43</f>
        <v>65</v>
      </c>
      <c r="AC14" s="1">
        <f>'Heating Savings_Fuel Switching'!C43</f>
        <v>70</v>
      </c>
      <c r="AD14" s="58">
        <f>'Heating Savings_Fuel Switching'!E43</f>
        <v>585</v>
      </c>
      <c r="AE14" s="213">
        <f>'Heating Savings_Fuel Switching'!E43</f>
        <v>585</v>
      </c>
      <c r="AF14" s="12">
        <f>'Heating Savings_Fuel Switching'!F43</f>
        <v>0</v>
      </c>
      <c r="AG14" s="213">
        <f>'Heating Savings_Fuel Switching'!G43</f>
        <v>0</v>
      </c>
      <c r="AH14" s="213">
        <f>'Heating Savings_Fuel Switching'!H43</f>
        <v>0</v>
      </c>
      <c r="AI14" s="58">
        <f>'Heating Savings_Fuel Switching'!I43</f>
        <v>67.5</v>
      </c>
      <c r="AJ14" s="213">
        <f>'Heating Savings_Fuel Switching'!J43</f>
        <v>642</v>
      </c>
      <c r="AK14" s="12">
        <f>'Heating Savings_Fuel Switching'!K43</f>
        <v>0</v>
      </c>
      <c r="AL14" s="213">
        <f>'Heating Savings_Fuel Switching'!L43</f>
        <v>0</v>
      </c>
      <c r="AM14" s="213">
        <f>'Heating Savings_Fuel Switching'!M43</f>
        <v>0</v>
      </c>
      <c r="AN14" s="58">
        <f>'Heating Savings_Fuel Switching'!N43</f>
        <v>67.5</v>
      </c>
      <c r="AO14" s="213">
        <f>'Heating Savings_Fuel Switching'!O43</f>
        <v>749</v>
      </c>
      <c r="AP14" s="12">
        <f>'Heating Savings_Fuel Switching'!P43</f>
        <v>0</v>
      </c>
      <c r="AQ14" s="213">
        <f>'Heating Savings_Fuel Switching'!Q43</f>
        <v>0</v>
      </c>
      <c r="AR14" s="213">
        <f>'Heating Savings_Fuel Switching'!R43</f>
        <v>0</v>
      </c>
    </row>
    <row r="15" spans="2:44" ht="15.75" thickBot="1" x14ac:dyDescent="0.3">
      <c r="B15" s="271">
        <v>50</v>
      </c>
      <c r="C15" s="272">
        <v>2.68</v>
      </c>
      <c r="D15" s="273">
        <v>3.36</v>
      </c>
      <c r="E15" s="272">
        <v>4</v>
      </c>
      <c r="G15" s="276">
        <v>1</v>
      </c>
      <c r="H15" s="283">
        <v>1</v>
      </c>
      <c r="I15" s="276">
        <v>1</v>
      </c>
      <c r="M15" s="1">
        <v>15</v>
      </c>
      <c r="N15" s="40">
        <f>'ASHP Derating Scale'!H8</f>
        <v>0.5714285714285714</v>
      </c>
      <c r="O15" s="292">
        <f t="shared" si="3"/>
        <v>6300801.6750000017</v>
      </c>
      <c r="P15" s="280">
        <f t="shared" si="4"/>
        <v>0.10068117627512875</v>
      </c>
      <c r="Q15" s="69">
        <f t="shared" si="8"/>
        <v>40584860.662500016</v>
      </c>
      <c r="R15" s="280">
        <f>((N15*O15)+(N14*O14)+(N13*O13)+(N12*O12)+(N11*O11)+(N10*O10)+(N9*O9)+(N8*O8)+(N7*O7))/Q15</f>
        <v>0.76140501528634497</v>
      </c>
      <c r="S15" s="60">
        <f t="shared" si="5"/>
        <v>5347306.1250000009</v>
      </c>
      <c r="T15" s="280">
        <f t="shared" si="9"/>
        <v>9.2968424227906285E-2</v>
      </c>
      <c r="U15" s="69">
        <f t="shared" si="10"/>
        <v>38152069.200000003</v>
      </c>
      <c r="V15" s="280">
        <f>((N15*S15)+(N14*S14)+(N13*S13)+(N12*S12)+(N11*S11)+(N10*S10)+(N9*S9)+(N8*S8)+(N7*S7))/U15</f>
        <v>0.76722822935217105</v>
      </c>
      <c r="W15" s="60">
        <f t="shared" si="6"/>
        <v>5012294.1750000007</v>
      </c>
      <c r="X15" s="280">
        <f t="shared" si="7"/>
        <v>0.10053145622075008</v>
      </c>
      <c r="Y15" s="69">
        <f t="shared" si="11"/>
        <v>36153989.550000012</v>
      </c>
      <c r="Z15" s="280">
        <f>((N15*W15)+(N14*W14)+(N13*W13)+(N12*W12)+(N11*W11)+(N10*W10)+(N9*W9)+(N8*W8)+(N7*W7))/Y15</f>
        <v>0.76832642262816309</v>
      </c>
      <c r="AB15" s="1">
        <f>'Heating Savings_Fuel Switching'!B44</f>
        <v>60</v>
      </c>
      <c r="AC15" s="1">
        <f>'Heating Savings_Fuel Switching'!C44</f>
        <v>65</v>
      </c>
      <c r="AD15" s="58">
        <f>'Heating Savings_Fuel Switching'!E44</f>
        <v>779.5</v>
      </c>
      <c r="AE15" s="213">
        <f>'Heating Savings_Fuel Switching'!E44</f>
        <v>779.5</v>
      </c>
      <c r="AF15" s="12">
        <f>'Heating Savings_Fuel Switching'!F44</f>
        <v>0</v>
      </c>
      <c r="AG15" s="213">
        <f>'Heating Savings_Fuel Switching'!G44</f>
        <v>0</v>
      </c>
      <c r="AH15" s="213">
        <f>'Heating Savings_Fuel Switching'!H44</f>
        <v>0</v>
      </c>
      <c r="AI15" s="58">
        <f>'Heating Savings_Fuel Switching'!I44</f>
        <v>62.5</v>
      </c>
      <c r="AJ15" s="213">
        <f>'Heating Savings_Fuel Switching'!J44</f>
        <v>694</v>
      </c>
      <c r="AK15" s="12">
        <f>'Heating Savings_Fuel Switching'!K44</f>
        <v>0</v>
      </c>
      <c r="AL15" s="213">
        <f>'Heating Savings_Fuel Switching'!L44</f>
        <v>0</v>
      </c>
      <c r="AM15" s="213">
        <f>'Heating Savings_Fuel Switching'!M44</f>
        <v>0</v>
      </c>
      <c r="AN15" s="58">
        <f>'Heating Savings_Fuel Switching'!N44</f>
        <v>62.5</v>
      </c>
      <c r="AO15" s="213">
        <f>'Heating Savings_Fuel Switching'!O44</f>
        <v>670</v>
      </c>
      <c r="AP15" s="12">
        <f>'Heating Savings_Fuel Switching'!P44</f>
        <v>0</v>
      </c>
      <c r="AQ15" s="213">
        <f>'Heating Savings_Fuel Switching'!Q44</f>
        <v>0</v>
      </c>
      <c r="AR15" s="213">
        <f>'Heating Savings_Fuel Switching'!R44</f>
        <v>0</v>
      </c>
    </row>
    <row r="16" spans="2:44" ht="15.75" thickBot="1" x14ac:dyDescent="0.3">
      <c r="B16" s="271">
        <v>55</v>
      </c>
      <c r="C16" s="272">
        <v>2.63</v>
      </c>
      <c r="D16" s="273">
        <v>3.34</v>
      </c>
      <c r="E16" s="272">
        <v>4</v>
      </c>
      <c r="G16" s="12">
        <f>C16/$C$15</f>
        <v>0.98134328358208944</v>
      </c>
      <c r="H16" s="282">
        <f>D16/$D$15</f>
        <v>0.99404761904761907</v>
      </c>
      <c r="I16" s="12">
        <f>E16/$E$15</f>
        <v>1</v>
      </c>
      <c r="M16" s="1">
        <v>10</v>
      </c>
      <c r="N16" s="40">
        <f>'ASHP Derating Scale'!H7</f>
        <v>0.54761904761904767</v>
      </c>
      <c r="O16" s="292">
        <f t="shared" si="3"/>
        <v>3667653.6750000007</v>
      </c>
      <c r="P16" s="280">
        <f t="shared" si="4"/>
        <v>5.8605825927507668E-2</v>
      </c>
      <c r="Q16" s="69">
        <f t="shared" si="8"/>
        <v>44252514.337500021</v>
      </c>
      <c r="R16" s="280">
        <f>((N16*O16)+(N15*O15)+(N14*O14)+(N13*O13)+(N12*O12)+(N11*O11)+(N10*O10)+(N9*O9)+(N8*O8)+(N7*O7))/Q16</f>
        <v>0.74368640874574554</v>
      </c>
      <c r="S16" s="60">
        <f t="shared" si="5"/>
        <v>4446499.0500000007</v>
      </c>
      <c r="T16" s="280">
        <f t="shared" si="9"/>
        <v>7.7306965478693673E-2</v>
      </c>
      <c r="U16" s="69">
        <f t="shared" si="10"/>
        <v>42598568.25</v>
      </c>
      <c r="V16" s="280">
        <f>((N16*S16)+(N15*S15)+(N14*S14)+(N13*S13)+(N12*S12)+(N11*S11)+(N10*S10)+(N9*S9)+(N8*S8)+(N7*S7))/U16</f>
        <v>0.74430511108639208</v>
      </c>
      <c r="W16" s="60">
        <f t="shared" si="6"/>
        <v>3865905.2250000006</v>
      </c>
      <c r="X16" s="280">
        <f t="shared" si="7"/>
        <v>7.7538362336974462E-2</v>
      </c>
      <c r="Y16" s="69">
        <f t="shared" si="11"/>
        <v>40019894.775000013</v>
      </c>
      <c r="Z16" s="280">
        <f>((N16*W16)+(N15*W15)+(N14*W14)+(N13*W13)+(N12*W12)+(N11*W11)+(N10*W10)+(N9*W9)+(N8*W8)+(N7*W7))/Y16</f>
        <v>0.74700618180692091</v>
      </c>
      <c r="AB16" s="1">
        <f>'Heating Savings_Fuel Switching'!B45</f>
        <v>55</v>
      </c>
      <c r="AC16" s="1">
        <f>'Heating Savings_Fuel Switching'!C45</f>
        <v>60</v>
      </c>
      <c r="AD16" s="58">
        <f>'Heating Savings_Fuel Switching'!E45</f>
        <v>507</v>
      </c>
      <c r="AE16" s="213">
        <f>'Heating Savings_Fuel Switching'!E45</f>
        <v>507</v>
      </c>
      <c r="AF16" s="12">
        <f>'Heating Savings_Fuel Switching'!F45</f>
        <v>2.1704275927864416E-2</v>
      </c>
      <c r="AG16" s="213">
        <f>'Heating Savings_Fuel Switching'!G45</f>
        <v>2679.0750000000003</v>
      </c>
      <c r="AH16" s="213">
        <f>'Heating Savings_Fuel Switching'!H45</f>
        <v>1358291.0250000001</v>
      </c>
      <c r="AI16" s="58">
        <f>'Heating Savings_Fuel Switching'!I45</f>
        <v>57.5</v>
      </c>
      <c r="AJ16" s="213">
        <f>'Heating Savings_Fuel Switching'!J45</f>
        <v>653</v>
      </c>
      <c r="AK16" s="12">
        <f>'Heating Savings_Fuel Switching'!K45</f>
        <v>3.0415746187218862E-2</v>
      </c>
      <c r="AL16" s="213">
        <f>'Heating Savings_Fuel Switching'!L45</f>
        <v>2679.0750000000003</v>
      </c>
      <c r="AM16" s="213">
        <f>'Heating Savings_Fuel Switching'!M45</f>
        <v>1749435.9750000001</v>
      </c>
      <c r="AN16" s="58">
        <f>'Heating Savings_Fuel Switching'!N45</f>
        <v>57.5</v>
      </c>
      <c r="AO16" s="213">
        <f>'Heating Savings_Fuel Switching'!O45</f>
        <v>572</v>
      </c>
      <c r="AP16" s="12">
        <f>'Heating Savings_Fuel Switching'!P45</f>
        <v>3.073592741285474E-2</v>
      </c>
      <c r="AQ16" s="213">
        <f>'Heating Savings_Fuel Switching'!Q45</f>
        <v>2679.0750000000003</v>
      </c>
      <c r="AR16" s="213">
        <f>'Heating Savings_Fuel Switching'!R45</f>
        <v>1532430.9000000001</v>
      </c>
    </row>
    <row r="17" spans="2:44" ht="15.75" thickBot="1" x14ac:dyDescent="0.3">
      <c r="B17" s="271">
        <v>60</v>
      </c>
      <c r="C17" s="272">
        <v>2.1800000000000002</v>
      </c>
      <c r="D17" s="273">
        <v>3.15</v>
      </c>
      <c r="E17" s="272">
        <v>4</v>
      </c>
      <c r="G17" s="12">
        <f>C17/$C$15</f>
        <v>0.81343283582089554</v>
      </c>
      <c r="H17" s="282">
        <f t="shared" ref="H17:H18" si="12">D17/$D$15</f>
        <v>0.9375</v>
      </c>
      <c r="I17" s="12">
        <f t="shared" ref="I17:I18" si="13">E17/$E$15</f>
        <v>1</v>
      </c>
      <c r="M17" s="1">
        <v>5</v>
      </c>
      <c r="N17" s="40">
        <f>'ASHP Derating Scale'!H7</f>
        <v>0.54761904761904767</v>
      </c>
      <c r="O17" s="292">
        <f t="shared" si="3"/>
        <v>4924267.4250000007</v>
      </c>
      <c r="P17" s="280">
        <f t="shared" si="4"/>
        <v>7.8685389925766749E-2</v>
      </c>
      <c r="Q17" s="69">
        <f t="shared" si="8"/>
        <v>49176781.762500018</v>
      </c>
      <c r="R17" s="280">
        <f>((N17*O17)+(N16*O16)+(N15*O15)+(N14*O14)+(N13*O13)+(N12*O12)+(N11*O11)+(N10*O10)+(N9*O9)+(N8*O8)+(N7*O7))/Q17</f>
        <v>0.72405340136098528</v>
      </c>
      <c r="S17" s="60">
        <f t="shared" si="5"/>
        <v>3828270.6000000006</v>
      </c>
      <c r="T17" s="280">
        <f t="shared" si="9"/>
        <v>6.6558427155696334E-2</v>
      </c>
      <c r="U17" s="69">
        <f t="shared" si="10"/>
        <v>46426838.850000001</v>
      </c>
      <c r="V17" s="280">
        <f>((N17*S17)+(N16*S16)+(N15*S15)+(N14*S14)+(N13*S13)+(N12*S12)+(N11*S11)+(N10*S10)+(N9*S9)+(N8*S8)+(N7*S7))/U17</f>
        <v>0.72808674488156544</v>
      </c>
      <c r="W17" s="60">
        <f t="shared" si="6"/>
        <v>3118188.1500000004</v>
      </c>
      <c r="X17" s="280">
        <f t="shared" si="7"/>
        <v>6.2541420065350947E-2</v>
      </c>
      <c r="Y17" s="69">
        <f t="shared" si="11"/>
        <v>43138082.925000012</v>
      </c>
      <c r="Z17" s="280">
        <f>((N17*W17)+(N16*W16)+(N15*W15)+(N14*W14)+(N13*W13)+(N12*W12)+(N11*W11)+(N10*W10)+(N9*W9)+(N8*W8)+(N7*W7))/Y17</f>
        <v>0.73259370547671354</v>
      </c>
      <c r="AB17" s="1">
        <f>'Heating Savings_Fuel Switching'!B46</f>
        <v>50</v>
      </c>
      <c r="AC17" s="1">
        <f>'Heating Savings_Fuel Switching'!C46</f>
        <v>55</v>
      </c>
      <c r="AD17" s="58">
        <f>'Heating Savings_Fuel Switching'!E46</f>
        <v>738</v>
      </c>
      <c r="AE17" s="213">
        <f>'Heating Savings_Fuel Switching'!E46</f>
        <v>738</v>
      </c>
      <c r="AF17" s="12">
        <f>'Heating Savings_Fuel Switching'!F46</f>
        <v>4.6637590370778824E-2</v>
      </c>
      <c r="AG17" s="213">
        <f>'Heating Savings_Fuel Switching'!G46</f>
        <v>3954.8250000000007</v>
      </c>
      <c r="AH17" s="213">
        <f>'Heating Savings_Fuel Switching'!H46</f>
        <v>2918660.8500000006</v>
      </c>
      <c r="AI17" s="58">
        <f>'Heating Savings_Fuel Switching'!I46</f>
        <v>52.5</v>
      </c>
      <c r="AJ17" s="213">
        <f>'Heating Savings_Fuel Switching'!J46</f>
        <v>569</v>
      </c>
      <c r="AK17" s="12">
        <f>'Heating Savings_Fuel Switching'!K46</f>
        <v>3.9123703565693398E-2</v>
      </c>
      <c r="AL17" s="213">
        <f>'Heating Savings_Fuel Switching'!L46</f>
        <v>3954.8250000000007</v>
      </c>
      <c r="AM17" s="213">
        <f>'Heating Savings_Fuel Switching'!M46</f>
        <v>2250295.4250000003</v>
      </c>
      <c r="AN17" s="58">
        <f>'Heating Savings_Fuel Switching'!N46</f>
        <v>52.5</v>
      </c>
      <c r="AO17" s="213">
        <f>'Heating Savings_Fuel Switching'!O46</f>
        <v>496</v>
      </c>
      <c r="AP17" s="12">
        <f>'Heating Savings_Fuel Switching'!P46</f>
        <v>3.9343624700304239E-2</v>
      </c>
      <c r="AQ17" s="213">
        <f>'Heating Savings_Fuel Switching'!Q46</f>
        <v>3954.8250000000007</v>
      </c>
      <c r="AR17" s="213">
        <f>'Heating Savings_Fuel Switching'!R46</f>
        <v>1961593.2000000004</v>
      </c>
    </row>
    <row r="18" spans="2:44" ht="15.75" thickBot="1" x14ac:dyDescent="0.3">
      <c r="B18" s="271">
        <v>65</v>
      </c>
      <c r="C18" s="272">
        <v>2.1800000000000002</v>
      </c>
      <c r="D18" s="273">
        <v>3.15</v>
      </c>
      <c r="E18" s="272">
        <v>4</v>
      </c>
      <c r="G18" s="12">
        <f t="shared" ref="G18" si="14">C18/$C$15</f>
        <v>0.81343283582089554</v>
      </c>
      <c r="H18" s="282">
        <f t="shared" si="12"/>
        <v>0.9375</v>
      </c>
      <c r="I18" s="12">
        <f t="shared" si="13"/>
        <v>1</v>
      </c>
      <c r="M18" s="1">
        <v>0</v>
      </c>
      <c r="N18" s="40">
        <f>'ASHP Derating Scale'!H7</f>
        <v>0.54761904761904767</v>
      </c>
      <c r="O18" s="292">
        <f t="shared" si="3"/>
        <v>3743560.8000000007</v>
      </c>
      <c r="P18" s="280">
        <f t="shared" si="4"/>
        <v>5.9818753905067482E-2</v>
      </c>
      <c r="Q18" s="69">
        <f t="shared" si="8"/>
        <v>52920342.562500015</v>
      </c>
      <c r="R18" s="280">
        <f>((N18*O18)+(N17*O17)+(N16*O16)+(N15*O15)+(N14*O14)+(N13*O13)+(N12*O12)+(N11*O11)+(N10*O10)+(N9*O9)+(N8*O8)+(N7*O7))/Q18</f>
        <v>0.71157251596872628</v>
      </c>
      <c r="S18" s="60">
        <f t="shared" si="5"/>
        <v>3275615.7000000007</v>
      </c>
      <c r="T18" s="280">
        <f t="shared" si="9"/>
        <v>5.6949952534312814E-2</v>
      </c>
      <c r="U18" s="69">
        <f t="shared" si="10"/>
        <v>49702454.550000004</v>
      </c>
      <c r="V18" s="280">
        <f>((N18*S18)+(N17*S17)+(N16*S16)+(N15*S15)+(N14*S14)+(N13*S13)+(N12*S12)+(N11*S11)+(N10*S10)+(N9*S9)+(N8*S8)+(N7*S7))/U18</f>
        <v>0.71619311049573697</v>
      </c>
      <c r="W18" s="60">
        <f t="shared" si="6"/>
        <v>2623835.0250000008</v>
      </c>
      <c r="X18" s="280">
        <f t="shared" si="7"/>
        <v>5.262619206628235E-2</v>
      </c>
      <c r="Y18" s="69">
        <f t="shared" si="11"/>
        <v>45761917.95000001</v>
      </c>
      <c r="Z18" s="280">
        <f>((N18*W18)+(N17*W17)+(N16*W16)+(N15*W15)+(N14*W14)+(N13*W13)+(N12*W12)+(N11*W11)+(N10*W10)+(N9*W9)+(N8*W8)+(N7*W7))/Y18</f>
        <v>0.72198787845358425</v>
      </c>
      <c r="AB18" s="1">
        <f>'Heating Savings_Fuel Switching'!B47</f>
        <v>45</v>
      </c>
      <c r="AC18" s="1">
        <f>'Heating Savings_Fuel Switching'!C47</f>
        <v>50</v>
      </c>
      <c r="AD18" s="58">
        <f>'Heating Savings_Fuel Switching'!E47</f>
        <v>565</v>
      </c>
      <c r="AE18" s="213">
        <f>'Heating Savings_Fuel Switching'!E47</f>
        <v>565</v>
      </c>
      <c r="AF18" s="12">
        <f>'Heating Savings_Fuel Switching'!F47</f>
        <v>4.7222649748190022E-2</v>
      </c>
      <c r="AG18" s="213">
        <f>'Heating Savings_Fuel Switching'!G47</f>
        <v>5230.5750000000007</v>
      </c>
      <c r="AH18" s="213">
        <f>'Heating Savings_Fuel Switching'!H47</f>
        <v>2955274.8750000005</v>
      </c>
      <c r="AI18" s="58">
        <f>'Heating Savings_Fuel Switching'!I47</f>
        <v>47.5</v>
      </c>
      <c r="AJ18" s="213">
        <f>'Heating Savings_Fuel Switching'!J47</f>
        <v>557</v>
      </c>
      <c r="AK18" s="12">
        <f>'Heating Savings_Fuel Switching'!K47</f>
        <v>5.0652985902247302E-2</v>
      </c>
      <c r="AL18" s="213">
        <f>'Heating Savings_Fuel Switching'!L47</f>
        <v>5230.5750000000007</v>
      </c>
      <c r="AM18" s="213">
        <f>'Heating Savings_Fuel Switching'!M47</f>
        <v>2913430.2750000004</v>
      </c>
      <c r="AN18" s="58">
        <f>'Heating Savings_Fuel Switching'!N47</f>
        <v>47.5</v>
      </c>
      <c r="AO18" s="213">
        <f>'Heating Savings_Fuel Switching'!O47</f>
        <v>527</v>
      </c>
      <c r="AP18" s="12">
        <f>'Heating Savings_Fuel Switching'!P47</f>
        <v>5.5287311322806558E-2</v>
      </c>
      <c r="AQ18" s="213">
        <f>'Heating Savings_Fuel Switching'!Q47</f>
        <v>5230.5750000000007</v>
      </c>
      <c r="AR18" s="213">
        <f>'Heating Savings_Fuel Switching'!R47</f>
        <v>2756513.0250000004</v>
      </c>
    </row>
    <row r="19" spans="2:44" x14ac:dyDescent="0.25">
      <c r="M19" s="1">
        <v>-5</v>
      </c>
      <c r="N19" s="40">
        <f>'ASHP Derating Scale'!H7</f>
        <v>0.54761904761904767</v>
      </c>
      <c r="O19" s="292">
        <f t="shared" si="3"/>
        <v>3210871.3875000002</v>
      </c>
      <c r="P19" s="280">
        <f t="shared" si="4"/>
        <v>5.1306853450780079E-2</v>
      </c>
      <c r="Q19" s="69">
        <f t="shared" si="8"/>
        <v>56131213.950000018</v>
      </c>
      <c r="R19" s="280">
        <f>((N19*O19)+(N18*O18)+(N17*O17)+(N16*O16)+(N15*O15)+(N14*O14)+(N13*O13)+(N12*O12)+(N11*O11)+(N10*O10)+(N9*O9)+(N8*O8)+(N7*O7))/Q19</f>
        <v>0.7021938928576299</v>
      </c>
      <c r="S19" s="60">
        <f t="shared" si="5"/>
        <v>2662235.1</v>
      </c>
      <c r="T19" s="280">
        <f t="shared" si="9"/>
        <v>4.6285699076415318E-2</v>
      </c>
      <c r="U19" s="69">
        <f t="shared" si="10"/>
        <v>52364689.650000006</v>
      </c>
      <c r="V19" s="280">
        <f>((N19*S19)+(N18*S18)+(N17*S17)+(N16*S16)+(N15*S15)+(N14*S14)+(N13*S13)+(N12*S12)+(N11*S11)+(N10*S10)+(N9*S9)+(N8*S8)+(N7*S7))/U19</f>
        <v>0.70762275917427309</v>
      </c>
      <c r="W19" s="60">
        <f t="shared" si="6"/>
        <v>2050640.55</v>
      </c>
      <c r="X19" s="280">
        <f t="shared" si="7"/>
        <v>4.1129645124394522E-2</v>
      </c>
      <c r="Y19" s="69">
        <f t="shared" si="11"/>
        <v>47812558.500000007</v>
      </c>
      <c r="Z19" s="280">
        <f>((N19*W19)+(N18*W18)+(N17*W17)+(N16*W16)+(N15*W15)+(N14*W14)+(N13*W13)+(N12*W12)+(N11*W11)+(N10*W10)+(N9*W9)+(N8*W8)+(N7*W7))/Y19</f>
        <v>0.71450934548268308</v>
      </c>
      <c r="AB19" s="1">
        <f>'Heating Savings_Fuel Switching'!B48</f>
        <v>40</v>
      </c>
      <c r="AC19" s="1">
        <f>'Heating Savings_Fuel Switching'!C48</f>
        <v>45</v>
      </c>
      <c r="AD19" s="58">
        <f>'Heating Savings_Fuel Switching'!E48</f>
        <v>543</v>
      </c>
      <c r="AE19" s="213">
        <f>'Heating Savings_Fuel Switching'!E48</f>
        <v>543</v>
      </c>
      <c r="AF19" s="12">
        <f>'Heating Savings_Fuel Switching'!F48</f>
        <v>5.6453133584141009E-2</v>
      </c>
      <c r="AG19" s="213">
        <f>'Heating Savings_Fuel Switching'!G48</f>
        <v>6506.3250000000016</v>
      </c>
      <c r="AH19" s="213">
        <f>'Heating Savings_Fuel Switching'!H48</f>
        <v>3532934.475000001</v>
      </c>
      <c r="AI19" s="58">
        <f>'Heating Savings_Fuel Switching'!I48</f>
        <v>42.5</v>
      </c>
      <c r="AJ19" s="213">
        <f>'Heating Savings_Fuel Switching'!J48</f>
        <v>515</v>
      </c>
      <c r="AK19" s="12">
        <f>'Heating Savings_Fuel Switching'!K48</f>
        <v>5.825636794336058E-2</v>
      </c>
      <c r="AL19" s="213">
        <f>'Heating Savings_Fuel Switching'!L48</f>
        <v>6506.3250000000016</v>
      </c>
      <c r="AM19" s="213">
        <f>'Heating Savings_Fuel Switching'!M48</f>
        <v>3350757.3750000009</v>
      </c>
      <c r="AN19" s="58">
        <f>'Heating Savings_Fuel Switching'!N48</f>
        <v>42.5</v>
      </c>
      <c r="AO19" s="213">
        <f>'Heating Savings_Fuel Switching'!O48</f>
        <v>505</v>
      </c>
      <c r="AP19" s="12">
        <f>'Heating Savings_Fuel Switching'!P48</f>
        <v>6.5901083126712778E-2</v>
      </c>
      <c r="AQ19" s="213">
        <f>'Heating Savings_Fuel Switching'!Q48</f>
        <v>6506.3250000000016</v>
      </c>
      <c r="AR19" s="213">
        <f>'Heating Savings_Fuel Switching'!R48</f>
        <v>3285694.1250000009</v>
      </c>
    </row>
    <row r="20" spans="2:44" x14ac:dyDescent="0.25">
      <c r="M20" s="1">
        <v>-10</v>
      </c>
      <c r="N20" s="40">
        <f>'ASHP Derating Scale'!H7</f>
        <v>0.54761904761904767</v>
      </c>
      <c r="O20" s="292">
        <f t="shared" si="3"/>
        <v>2716199.3250000007</v>
      </c>
      <c r="P20" s="280">
        <f t="shared" si="4"/>
        <v>4.3402436252480636E-2</v>
      </c>
      <c r="Q20" s="69">
        <f t="shared" si="8"/>
        <v>58847413.275000021</v>
      </c>
      <c r="R20" s="280">
        <f>((N20*O20)+(N19*O19)+(N18*O18)+(N17*O17)+(N16*O16)+(N15*O15)+(N14*O14)+(N13*O13)+(N12*O12)+(N11*O11)+(N10*O10)+(N9*O9)+(N8*O8)+(N7*O7))/Q20</f>
        <v>0.69505923617634147</v>
      </c>
      <c r="S20" s="60">
        <f t="shared" si="5"/>
        <v>2061229.2750000004</v>
      </c>
      <c r="T20" s="280">
        <f t="shared" si="9"/>
        <v>3.5836593826799039E-2</v>
      </c>
      <c r="U20" s="69">
        <f t="shared" si="10"/>
        <v>54425918.925000004</v>
      </c>
      <c r="V20" s="280">
        <f>((N20*S20)+(N19*S19)+(N18*S18)+(N17*S17)+(N16*S16)+(N15*S15)+(N14*S14)+(N13*S13)+(N12*S12)+(N11*S11)+(N10*S10)+(N9*S9)+(N8*S8)+(N7*S7))/U20</f>
        <v>0.70156306664394086</v>
      </c>
      <c r="W20" s="60">
        <f t="shared" si="6"/>
        <v>1290676.2750000004</v>
      </c>
      <c r="X20" s="280">
        <f t="shared" si="7"/>
        <v>2.5887061075245708E-2</v>
      </c>
      <c r="Y20" s="69">
        <f t="shared" si="11"/>
        <v>49103234.775000006</v>
      </c>
      <c r="Z20" s="280">
        <f>((N20*W20)+(N19*W19)+(N18*W18)+(N17*W17)+(N16*W16)+(N15*W15)+(N14*W14)+(N13*W13)+(N12*W12)+(N11*W11)+(N10*W10)+(N9*W9)+(N8*W8)+(N7*W7))/Y20</f>
        <v>0.71012264165416183</v>
      </c>
      <c r="AB20" s="1">
        <f>'Heating Savings_Fuel Switching'!B49</f>
        <v>35</v>
      </c>
      <c r="AC20" s="1">
        <f>'Heating Savings_Fuel Switching'!C49</f>
        <v>40</v>
      </c>
      <c r="AD20" s="58">
        <f>'Heating Savings_Fuel Switching'!E49</f>
        <v>630</v>
      </c>
      <c r="AE20" s="213">
        <f>'Heating Savings_Fuel Switching'!E49</f>
        <v>630</v>
      </c>
      <c r="AF20" s="12">
        <f>'Heating Savings_Fuel Switching'!F49</f>
        <v>7.8340877609451451E-2</v>
      </c>
      <c r="AG20" s="213">
        <f>'Heating Savings_Fuel Switching'!G49</f>
        <v>7782.0750000000016</v>
      </c>
      <c r="AH20" s="213">
        <f>'Heating Savings_Fuel Switching'!H49</f>
        <v>4902707.2500000009</v>
      </c>
      <c r="AI20" s="58">
        <f>'Heating Savings_Fuel Switching'!I49</f>
        <v>37.5</v>
      </c>
      <c r="AJ20" s="213">
        <f>'Heating Savings_Fuel Switching'!J49</f>
        <v>561</v>
      </c>
      <c r="AK20" s="12">
        <f>'Heating Savings_Fuel Switching'!K49</f>
        <v>7.590295706795136E-2</v>
      </c>
      <c r="AL20" s="213">
        <f>'Heating Savings_Fuel Switching'!L49</f>
        <v>7782.0750000000016</v>
      </c>
      <c r="AM20" s="213">
        <f>'Heating Savings_Fuel Switching'!M49</f>
        <v>4365744.0750000011</v>
      </c>
      <c r="AN20" s="58">
        <f>'Heating Savings_Fuel Switching'!N49</f>
        <v>37.5</v>
      </c>
      <c r="AO20" s="213">
        <f>'Heating Savings_Fuel Switching'!O49</f>
        <v>575</v>
      </c>
      <c r="AP20" s="12">
        <f>'Heating Savings_Fuel Switching'!P49</f>
        <v>8.9748805694795208E-2</v>
      </c>
      <c r="AQ20" s="213">
        <f>'Heating Savings_Fuel Switching'!Q49</f>
        <v>7782.0750000000016</v>
      </c>
      <c r="AR20" s="213">
        <f>'Heating Savings_Fuel Switching'!R49</f>
        <v>4474693.1250000009</v>
      </c>
    </row>
    <row r="21" spans="2:44" x14ac:dyDescent="0.25">
      <c r="B21" s="274" t="s">
        <v>314</v>
      </c>
      <c r="M21" s="1">
        <v>-15</v>
      </c>
      <c r="N21" s="40">
        <f>'ASHP Derating Scale'!H7</f>
        <v>0.54761904761904767</v>
      </c>
      <c r="O21" s="292">
        <f t="shared" si="3"/>
        <v>1283723.4375000002</v>
      </c>
      <c r="P21" s="280">
        <f t="shared" si="4"/>
        <v>2.0512752561673307E-2</v>
      </c>
      <c r="Q21" s="69">
        <f t="shared" si="8"/>
        <v>60131136.712500021</v>
      </c>
      <c r="R21" s="280">
        <f>((N21*O21)+(N20*O20)+(N19*O19)+(N18*O18)+(N17*O17)+(N16*O16)+(N15*O15)+(N14*O14)+(N13*O13)+(N12*O12)+(N11*O11)+(N10*O10)+(N9*O9)+(N8*O8)+(N7*O7))/Q21</f>
        <v>0.69191157531329528</v>
      </c>
      <c r="S21" s="60">
        <f t="shared" si="5"/>
        <v>1396691.1000000003</v>
      </c>
      <c r="T21" s="280">
        <f t="shared" si="9"/>
        <v>2.4282913239821496E-2</v>
      </c>
      <c r="U21" s="69">
        <f t="shared" si="10"/>
        <v>55822610.025000006</v>
      </c>
      <c r="V21" s="280">
        <f>((N21*S21)+(N20*S20)+(N19*S19)+(N18*S18)+(N17*S17)+(N16*S16)+(N15*S15)+(N14*S14)+(N13*S13)+(N12*S12)+(N11*S11)+(N10*S10)+(N9*S9)+(N8*S8)+(N7*S7))/U21</f>
        <v>0.69771136137301193</v>
      </c>
      <c r="W21" s="60">
        <f t="shared" si="6"/>
        <v>575108.10000000009</v>
      </c>
      <c r="X21" s="280">
        <f t="shared" si="7"/>
        <v>1.1534928469626138E-2</v>
      </c>
      <c r="Y21" s="69">
        <f t="shared" si="11"/>
        <v>49678342.875000007</v>
      </c>
      <c r="Z21" s="280">
        <f>((N21*W21)+(N20*W20)+(N19*W19)+(N18*W18)+(N17*W17)+(N16*W16)+(N15*W15)+(N14*W14)+(N13*W13)+(N12*W12)+(N11*W11)+(N10*W10)+(N9*W9)+(N8*W8)+(N7*W7))/Y21</f>
        <v>0.70824139667294617</v>
      </c>
      <c r="AB21" s="1">
        <f>'Heating Savings_Fuel Switching'!B50</f>
        <v>30</v>
      </c>
      <c r="AC21" s="1">
        <f>'Heating Savings_Fuel Switching'!C50</f>
        <v>35</v>
      </c>
      <c r="AD21" s="58">
        <f>'Heating Savings_Fuel Switching'!E50</f>
        <v>535</v>
      </c>
      <c r="AE21" s="213">
        <f>'Heating Savings_Fuel Switching'!E50</f>
        <v>535</v>
      </c>
      <c r="AF21" s="12">
        <f>'Heating Savings_Fuel Switching'!F50</f>
        <v>7.7433729794301673E-2</v>
      </c>
      <c r="AG21" s="213">
        <f>'Heating Savings_Fuel Switching'!G50</f>
        <v>9057.8250000000025</v>
      </c>
      <c r="AH21" s="213">
        <f>'Heating Savings_Fuel Switching'!H50</f>
        <v>4845936.3750000009</v>
      </c>
      <c r="AI21" s="58">
        <f>'Heating Savings_Fuel Switching'!I50</f>
        <v>32.5</v>
      </c>
      <c r="AJ21" s="213">
        <f>'Heating Savings_Fuel Switching'!J50</f>
        <v>703</v>
      </c>
      <c r="AK21" s="12">
        <f>'Heating Savings_Fuel Switching'!K50</f>
        <v>0.11070817030866006</v>
      </c>
      <c r="AL21" s="213">
        <f>'Heating Savings_Fuel Switching'!L50</f>
        <v>9057.8250000000025</v>
      </c>
      <c r="AM21" s="213">
        <f>'Heating Savings_Fuel Switching'!M50</f>
        <v>6367650.9750000015</v>
      </c>
      <c r="AN21" s="58">
        <f>'Heating Savings_Fuel Switching'!N50</f>
        <v>32.5</v>
      </c>
      <c r="AO21" s="213">
        <f>'Heating Savings_Fuel Switching'!O50</f>
        <v>704</v>
      </c>
      <c r="AP21" s="12">
        <f>'Heating Savings_Fuel Switching'!P50</f>
        <v>0.12789748549817945</v>
      </c>
      <c r="AQ21" s="213">
        <f>'Heating Savings_Fuel Switching'!Q50</f>
        <v>9057.8250000000025</v>
      </c>
      <c r="AR21" s="213">
        <f>'Heating Savings_Fuel Switching'!R50</f>
        <v>6376708.8000000017</v>
      </c>
    </row>
    <row r="22" spans="2:44" x14ac:dyDescent="0.25">
      <c r="M22" s="1">
        <v>-20</v>
      </c>
      <c r="N22" s="40">
        <f>'ASHP Derating Scale'!H7</f>
        <v>0.54761904761904767</v>
      </c>
      <c r="O22" s="292">
        <f t="shared" si="3"/>
        <v>1483442.1000000003</v>
      </c>
      <c r="P22" s="280">
        <f t="shared" si="4"/>
        <v>2.3704078190026057E-2</v>
      </c>
      <c r="Q22" s="69">
        <f t="shared" si="8"/>
        <v>61614578.812500022</v>
      </c>
      <c r="R22" s="280">
        <f>((N22*O22)+(N21*O21)+(N20*O20)+(N19*O19)+(N18*O18)+(N17*O17)+(N16*O16)+(N15*O15)+(N14*O14)+(N13*O13)+(N12*O12)+(N11*O11)+(N10*O10)+(N9*O9)+(N8*O8)+(N7*O7))/Q22</f>
        <v>0.68843756616769292</v>
      </c>
      <c r="S22" s="60">
        <f t="shared" si="5"/>
        <v>959874.30000000016</v>
      </c>
      <c r="T22" s="280">
        <f t="shared" si="9"/>
        <v>1.6688403289771368E-2</v>
      </c>
      <c r="U22" s="69">
        <f t="shared" si="10"/>
        <v>56782484.325000003</v>
      </c>
      <c r="V22" s="280">
        <f>((N22*S22)+(N21*S21)+(N20*S20)+(N19*S19)+(N18*S18)+(N17*S17)+(N16*S16)+(N15*S15)+(N14*S14)+(N13*S13)+(N12*S12)+(N11*S11)+(N10*S10)+(N9*S9)+(N8*S8)+(N7*S7))/U22</f>
        <v>0.69517413961682095</v>
      </c>
      <c r="W22" s="60">
        <f t="shared" si="6"/>
        <v>109076.62500000003</v>
      </c>
      <c r="X22" s="280">
        <f t="shared" si="7"/>
        <v>2.1877470810848158E-3</v>
      </c>
      <c r="Y22" s="69">
        <f t="shared" si="11"/>
        <v>49787419.500000007</v>
      </c>
      <c r="Z22" s="280">
        <f>((N22*W22)+(N21*W21)+(N20*W20)+(N19*W19)+(N18*W18)+(N17*W17)+(N16*W16)+(N15*W15)+(N14*W14)+(N13*W13)+(N12*W12)+(N11*W11)+(N10*W10)+(N9*W9)+(N8*W8)+(N7*W7))/Y22</f>
        <v>0.70788949766090015</v>
      </c>
      <c r="AB22" s="1">
        <f>'Heating Savings_Fuel Switching'!B51</f>
        <v>25</v>
      </c>
      <c r="AC22" s="1">
        <f>'Heating Savings_Fuel Switching'!C51</f>
        <v>30</v>
      </c>
      <c r="AD22" s="58">
        <f>'Heating Savings_Fuel Switching'!E51</f>
        <v>749.5</v>
      </c>
      <c r="AE22" s="213">
        <f>'Heating Savings_Fuel Switching'!E51</f>
        <v>749.5</v>
      </c>
      <c r="AF22" s="12">
        <f>'Heating Savings_Fuel Switching'!F51</f>
        <v>0.12375840513221423</v>
      </c>
      <c r="AG22" s="213">
        <f>'Heating Savings_Fuel Switching'!G51</f>
        <v>10333.575000000003</v>
      </c>
      <c r="AH22" s="213">
        <f>'Heating Savings_Fuel Switching'!H51</f>
        <v>7745014.4625000022</v>
      </c>
      <c r="AI22" s="58">
        <f>'Heating Savings_Fuel Switching'!I51</f>
        <v>27.5</v>
      </c>
      <c r="AJ22" s="213">
        <f>'Heating Savings_Fuel Switching'!J51</f>
        <v>600</v>
      </c>
      <c r="AK22" s="12">
        <f>'Heating Savings_Fuel Switching'!K51</f>
        <v>0.10779590641718349</v>
      </c>
      <c r="AL22" s="213">
        <f>'Heating Savings_Fuel Switching'!L51</f>
        <v>10333.575000000003</v>
      </c>
      <c r="AM22" s="213">
        <f>'Heating Savings_Fuel Switching'!M51</f>
        <v>6200145.0000000019</v>
      </c>
      <c r="AN22" s="58">
        <f>'Heating Savings_Fuel Switching'!N51</f>
        <v>27.5</v>
      </c>
      <c r="AO22" s="213">
        <f>'Heating Savings_Fuel Switching'!O51</f>
        <v>543</v>
      </c>
      <c r="AP22" s="12">
        <f>'Heating Savings_Fuel Switching'!P51</f>
        <v>0.11254231563433152</v>
      </c>
      <c r="AQ22" s="213">
        <f>'Heating Savings_Fuel Switching'!Q51</f>
        <v>10333.575000000003</v>
      </c>
      <c r="AR22" s="213">
        <f>'Heating Savings_Fuel Switching'!R51</f>
        <v>5611131.2250000015</v>
      </c>
    </row>
    <row r="23" spans="2:44" x14ac:dyDescent="0.25">
      <c r="M23" s="1">
        <v>-25</v>
      </c>
      <c r="N23" s="40">
        <f>N22</f>
        <v>0.54761904761904767</v>
      </c>
      <c r="O23" s="292">
        <f t="shared" si="3"/>
        <v>646550.10000000009</v>
      </c>
      <c r="P23" s="280">
        <f t="shared" si="4"/>
        <v>1.0331292420627112E-2</v>
      </c>
      <c r="Q23" s="69">
        <f t="shared" si="8"/>
        <v>62261128.912500024</v>
      </c>
      <c r="R23" s="280">
        <f>((N23*O23)+(N22*O22)+(N21*O21)+(N20*O20)+(N19*O19)+(N18*O18)+(N17*O17)+(N16*O16)+(N15*O15)+(N14*O14)+(N13*O13)+(N12*O12)+(N11*O11)+(N10*O10)+(N9*O9)+(N8*O8)+(N7*O7))/Q23</f>
        <v>0.68697523760347057</v>
      </c>
      <c r="S23" s="60">
        <f t="shared" si="5"/>
        <v>461821.50000000012</v>
      </c>
      <c r="T23" s="280">
        <f t="shared" si="9"/>
        <v>8.0292424121441199E-3</v>
      </c>
      <c r="U23" s="69">
        <f t="shared" si="10"/>
        <v>57244305.825000003</v>
      </c>
      <c r="V23" s="280">
        <f>((N23*S23)+(N22*S22)+(N21*S21)+(N20*S20)+(N19*S19)+(N18*S18)+(N17*S17)+(N16*S16)+(N15*S15)+(N14*S14)+(N13*S13)+(N12*S12)+(N11*S11)+(N10*S10)+(N9*S9)+(N8*S8)+(N7*S7))/U23</f>
        <v>0.69398373101745092</v>
      </c>
      <c r="W23" s="60">
        <f t="shared" si="6"/>
        <v>46182.150000000009</v>
      </c>
      <c r="X23" s="280">
        <f t="shared" si="7"/>
        <v>9.262742027516997E-4</v>
      </c>
      <c r="Y23" s="69">
        <f t="shared" si="11"/>
        <v>49833601.650000006</v>
      </c>
      <c r="Z23" s="280">
        <f>((N23*W23)+(N22*W22)+(N21*W21)+(N20*W20)+(N19*W19)+(N18*W18)+(N17*W17)+(N16*W16)+(N15*W15)+(N14*W14)+(N13*W13)+(N12*W12)+(N11*W11)+(N10*W10)+(N9*W9)+(N8*W8)+(N7*W7))/Y23</f>
        <v>0.70774097068875008</v>
      </c>
      <c r="AB23" s="1">
        <f>'Heating Savings_Fuel Switching'!B52</f>
        <v>20</v>
      </c>
      <c r="AC23" s="1">
        <f>'Heating Savings_Fuel Switching'!C52</f>
        <v>25</v>
      </c>
      <c r="AD23" s="58">
        <f>'Heating Savings_Fuel Switching'!E52</f>
        <v>519</v>
      </c>
      <c r="AE23" s="213">
        <f>'Heating Savings_Fuel Switching'!E52</f>
        <v>519</v>
      </c>
      <c r="AF23" s="12">
        <f>'Heating Savings_Fuel Switching'!F52</f>
        <v>9.6277941936424194E-2</v>
      </c>
      <c r="AG23" s="213">
        <f>'Heating Savings_Fuel Switching'!G52</f>
        <v>11609.325000000001</v>
      </c>
      <c r="AH23" s="213">
        <f>'Heating Savings_Fuel Switching'!H52</f>
        <v>6025239.6750000007</v>
      </c>
      <c r="AI23" s="58">
        <f>'Heating Savings_Fuel Switching'!I52</f>
        <v>22.5</v>
      </c>
      <c r="AJ23" s="213">
        <f>'Heating Savings_Fuel Switching'!J52</f>
        <v>483</v>
      </c>
      <c r="AK23" s="12">
        <f>'Heating Savings_Fuel Switching'!K52</f>
        <v>9.748875462457747E-2</v>
      </c>
      <c r="AL23" s="213">
        <f>'Heating Savings_Fuel Switching'!L52</f>
        <v>11609.325000000001</v>
      </c>
      <c r="AM23" s="213">
        <f>'Heating Savings_Fuel Switching'!M52</f>
        <v>5607303.9750000006</v>
      </c>
      <c r="AN23" s="58">
        <f>'Heating Savings_Fuel Switching'!N52</f>
        <v>22.5</v>
      </c>
      <c r="AO23" s="213">
        <f>'Heating Savings_Fuel Switching'!O52</f>
        <v>443</v>
      </c>
      <c r="AP23" s="12">
        <f>'Heating Savings_Fuel Switching'!P52</f>
        <v>0.10315163518102007</v>
      </c>
      <c r="AQ23" s="213">
        <f>'Heating Savings_Fuel Switching'!Q52</f>
        <v>11609.325000000001</v>
      </c>
      <c r="AR23" s="213">
        <f>'Heating Savings_Fuel Switching'!R52</f>
        <v>5142930.9750000006</v>
      </c>
    </row>
    <row r="24" spans="2:44" x14ac:dyDescent="0.25">
      <c r="M24" s="163">
        <v>-30</v>
      </c>
      <c r="N24" s="40">
        <f>N23</f>
        <v>0.54761904761904767</v>
      </c>
      <c r="O24" s="292">
        <f t="shared" si="3"/>
        <v>243668.25000000006</v>
      </c>
      <c r="P24" s="280">
        <f t="shared" si="4"/>
        <v>3.8936007346878029E-3</v>
      </c>
      <c r="Q24" s="69">
        <f t="shared" si="8"/>
        <v>62504797.162500024</v>
      </c>
      <c r="R24" s="280">
        <f>((N24*O24)+(N23*O23)+(N22*O22)+(N21*O21)+(N20*O20)+(N19*O19)+(N18*O18)+(N17*O17)+(N16*O16)+(N15*O15)+(N14*O14)+(N13*O13)+(N12*O12)+(N11*O11)+(N10*O10)+(N9*O9)+(N8*O8)+(N7*O7))/Q24</f>
        <v>0.68643197243852827</v>
      </c>
      <c r="S24" s="60">
        <f t="shared" si="5"/>
        <v>194934.60000000003</v>
      </c>
      <c r="T24" s="280">
        <f t="shared" si="9"/>
        <v>3.389138786120501E-3</v>
      </c>
      <c r="U24" s="69">
        <f t="shared" si="10"/>
        <v>57439240.425000004</v>
      </c>
      <c r="V24" s="280">
        <f>((N24*S24)+(N23*S23)+(N22*S22)+(N21*S21)+(N20*S20)+(N19*S19)+(N18*S18)+(N17*S17)+(N16*S16)+(N15*S15)+(N14*S14)+(N13*S13)+(N12*S12)+(N11*S11)+(N10*S10)+(N9*S9)+(N8*S8)+(N7*S7))/U24</f>
        <v>0.69348700542008423</v>
      </c>
      <c r="W24" s="60">
        <f t="shared" si="6"/>
        <v>24366.825000000004</v>
      </c>
      <c r="X24" s="280">
        <f t="shared" si="7"/>
        <v>4.887247865347366E-4</v>
      </c>
      <c r="Y24" s="69">
        <f t="shared" si="11"/>
        <v>49857968.475000009</v>
      </c>
      <c r="Z24" s="280">
        <f>((N24*W24)+(N23*W23)+(N22*W22)+(N21*W21)+(N20*W20)+(N19*W19)+(N18*W18)+(N17*W17)+(N16*W16)+(N15*W15)+(N14*W14)+(N13*W13)+(N12*W12)+(N11*W11)+(N10*W10)+(N9*W9)+(N8*W8)+(N7*W7))/Y24</f>
        <v>0.70766271513607837</v>
      </c>
      <c r="AB24" s="1">
        <f>'Heating Savings_Fuel Switching'!B53</f>
        <v>15</v>
      </c>
      <c r="AC24" s="1">
        <f>'Heating Savings_Fuel Switching'!C53</f>
        <v>20</v>
      </c>
      <c r="AD24" s="58">
        <f>'Heating Savings_Fuel Switching'!E53</f>
        <v>489</v>
      </c>
      <c r="AE24" s="213">
        <f>'Heating Savings_Fuel Switching'!E53</f>
        <v>489</v>
      </c>
      <c r="AF24" s="12">
        <f>'Heating Savings_Fuel Switching'!F53</f>
        <v>0.10068117627512875</v>
      </c>
      <c r="AG24" s="213">
        <f>'Heating Savings_Fuel Switching'!G53</f>
        <v>12885.075000000003</v>
      </c>
      <c r="AH24" s="213">
        <f>'Heating Savings_Fuel Switching'!H53</f>
        <v>6300801.6750000017</v>
      </c>
      <c r="AI24" s="58">
        <f>'Heating Savings_Fuel Switching'!I53</f>
        <v>17.5</v>
      </c>
      <c r="AJ24" s="213">
        <f>'Heating Savings_Fuel Switching'!J53</f>
        <v>415</v>
      </c>
      <c r="AK24" s="12">
        <f>'Heating Savings_Fuel Switching'!K53</f>
        <v>9.2968424227906285E-2</v>
      </c>
      <c r="AL24" s="213">
        <f>'Heating Savings_Fuel Switching'!L53</f>
        <v>12885.075000000003</v>
      </c>
      <c r="AM24" s="213">
        <f>'Heating Savings_Fuel Switching'!M53</f>
        <v>5347306.1250000009</v>
      </c>
      <c r="AN24" s="58">
        <f>'Heating Savings_Fuel Switching'!N53</f>
        <v>17.5</v>
      </c>
      <c r="AO24" s="213">
        <f>'Heating Savings_Fuel Switching'!O53</f>
        <v>389</v>
      </c>
      <c r="AP24" s="12">
        <f>'Heating Savings_Fuel Switching'!P53</f>
        <v>0.10053145622075008</v>
      </c>
      <c r="AQ24" s="213">
        <f>'Heating Savings_Fuel Switching'!Q53</f>
        <v>12885.075000000003</v>
      </c>
      <c r="AR24" s="213">
        <f>'Heating Savings_Fuel Switching'!R53</f>
        <v>5012294.1750000007</v>
      </c>
    </row>
    <row r="25" spans="2:44" x14ac:dyDescent="0.25">
      <c r="M25" s="163">
        <v>-35</v>
      </c>
      <c r="N25" s="40">
        <f>N24</f>
        <v>0.54761904761904767</v>
      </c>
      <c r="O25" s="292">
        <f t="shared" si="3"/>
        <v>76927.725000000006</v>
      </c>
      <c r="P25" s="280">
        <f t="shared" si="4"/>
        <v>1.2292362528883482E-3</v>
      </c>
      <c r="Q25" s="69">
        <f t="shared" si="8"/>
        <v>62581724.887500025</v>
      </c>
      <c r="R25" s="280">
        <f>((N25*O25)+(N24*O24)+(N23*O23)+(N22*O22)+(N21*O21)+(N20*O20)+(N19*O19)+(N18*O18)+(N17*O17)+(N16*O16)+(N15*O15)+(N14*O14)+(N13*O13)+(N12*O12)+(N11*O11)+(N10*O10)+(N9*O9)+(N8*O8)+(N7*O7))/Q25</f>
        <v>0.68626133855897065</v>
      </c>
      <c r="S25" s="60">
        <f t="shared" si="5"/>
        <v>51285.150000000009</v>
      </c>
      <c r="T25" s="280">
        <f t="shared" si="9"/>
        <v>8.9164515184583857E-4</v>
      </c>
      <c r="U25" s="69">
        <f t="shared" si="10"/>
        <v>57490525.575000003</v>
      </c>
      <c r="V25" s="280">
        <f>((N25*S25)+(N24*S24)+(N23*S23)+(N22*S22)+(N21*S21)+(N20*S20)+(N19*S19)+(N18*S18)+(N17*S17)+(N16*S16)+(N15*S15)+(N14*S14)+(N13*S13)+(N12*S12)+(N11*S11)+(N10*S10)+(N9*S9)+(N8*S8)+(N7*S7))/U25</f>
        <v>0.69335688206460622</v>
      </c>
      <c r="W25" s="60">
        <f t="shared" si="6"/>
        <v>0</v>
      </c>
      <c r="X25" s="280">
        <f t="shared" si="7"/>
        <v>0</v>
      </c>
      <c r="Y25" s="69">
        <f t="shared" si="11"/>
        <v>49857968.475000009</v>
      </c>
      <c r="Z25" s="280">
        <f>((N25*W25)+(N24*W24)+(N23*W23)+(N22*W22)+(N21*W21)+(N20*W20)+(N19*W19)+(N18*W18)+(N17*W17)+(N16*W16)+(N15*W15)+(N14*W14)+(N13*W13)+(N12*W12)+(N11*W11)+(N10*W10)+(N9*W9)+(N8*W8)+(N7*W7))/Y25</f>
        <v>0.70766271513607837</v>
      </c>
      <c r="AB25" s="1">
        <f>'Heating Savings_Fuel Switching'!B54</f>
        <v>10</v>
      </c>
      <c r="AC25" s="1">
        <f>'Heating Savings_Fuel Switching'!C54</f>
        <v>15</v>
      </c>
      <c r="AD25" s="58">
        <f>'Heating Savings_Fuel Switching'!E54</f>
        <v>259</v>
      </c>
      <c r="AE25" s="213">
        <f>'Heating Savings_Fuel Switching'!E54</f>
        <v>259</v>
      </c>
      <c r="AF25" s="12">
        <f>'Heating Savings_Fuel Switching'!F54</f>
        <v>5.8605825927507668E-2</v>
      </c>
      <c r="AG25" s="213">
        <f>'Heating Savings_Fuel Switching'!G54</f>
        <v>14160.825000000003</v>
      </c>
      <c r="AH25" s="213">
        <f>'Heating Savings_Fuel Switching'!H54</f>
        <v>3667653.6750000007</v>
      </c>
      <c r="AI25" s="58">
        <f>'Heating Savings_Fuel Switching'!I54</f>
        <v>12.5</v>
      </c>
      <c r="AJ25" s="213">
        <f>'Heating Savings_Fuel Switching'!J54</f>
        <v>314</v>
      </c>
      <c r="AK25" s="12">
        <f>'Heating Savings_Fuel Switching'!K54</f>
        <v>7.7306965478693673E-2</v>
      </c>
      <c r="AL25" s="213">
        <f>'Heating Savings_Fuel Switching'!L54</f>
        <v>14160.825000000003</v>
      </c>
      <c r="AM25" s="213">
        <f>'Heating Savings_Fuel Switching'!M54</f>
        <v>4446499.0500000007</v>
      </c>
      <c r="AN25" s="58">
        <f>'Heating Savings_Fuel Switching'!N54</f>
        <v>12.5</v>
      </c>
      <c r="AO25" s="213">
        <f>'Heating Savings_Fuel Switching'!O54</f>
        <v>273</v>
      </c>
      <c r="AP25" s="12">
        <f>'Heating Savings_Fuel Switching'!P54</f>
        <v>7.7538362336974462E-2</v>
      </c>
      <c r="AQ25" s="213">
        <f>'Heating Savings_Fuel Switching'!Q54</f>
        <v>14160.825000000003</v>
      </c>
      <c r="AR25" s="213">
        <f>'Heating Savings_Fuel Switching'!R54</f>
        <v>3865905.2250000006</v>
      </c>
    </row>
    <row r="26" spans="2:44" x14ac:dyDescent="0.25">
      <c r="M26" s="163">
        <v>-40</v>
      </c>
      <c r="N26" s="40">
        <f>N25</f>
        <v>0.54761904761904767</v>
      </c>
      <c r="O26" s="292">
        <f t="shared" si="3"/>
        <v>0</v>
      </c>
      <c r="P26" s="280">
        <f t="shared" si="4"/>
        <v>0</v>
      </c>
      <c r="Q26" s="69">
        <f t="shared" si="8"/>
        <v>62581724.887500025</v>
      </c>
      <c r="R26" s="280">
        <f>((N26*O26)+(N25*O25)+(N24*O24)+(N23*O23)+(N22*O22)+(N21*O21)+(N20*O20)+(N19*O19)+(N18*O18)+(N17*O17)+(N16*O16)+(N15*O15)+(N14*O14)+(N13*O13)+(N12*O12)+(N11*O11)+(N10*O10)+(N9*O9)+(N8*O8)+(N7*O7))/Q26</f>
        <v>0.68626133855897065</v>
      </c>
      <c r="S26" s="60">
        <f t="shared" si="5"/>
        <v>26918.325000000004</v>
      </c>
      <c r="T26" s="280">
        <f t="shared" si="9"/>
        <v>4.68002803580776E-4</v>
      </c>
      <c r="U26" s="69">
        <f t="shared" si="10"/>
        <v>57517443.900000006</v>
      </c>
      <c r="V26" s="280">
        <f>((N26*S26)+(N25*S25)+(N24*S24)+(N23*S23)+(N22*S22)+(N21*S21)+(N20*S20)+(N19*S19)+(N18*S18)+(N17*S17)+(N16*S16)+(N15*S15)+(N14*S14)+(N13*S13)+(N12*S12)+(N11*S11)+(N10*S10)+(N9*S9)+(N8*S8)+(N7*S7))/U26</f>
        <v>0.69328867634949776</v>
      </c>
      <c r="W26" s="60">
        <f t="shared" si="6"/>
        <v>0</v>
      </c>
      <c r="X26" s="280">
        <f t="shared" si="7"/>
        <v>0</v>
      </c>
      <c r="Y26" s="69">
        <f t="shared" si="11"/>
        <v>49857968.475000009</v>
      </c>
      <c r="Z26" s="280">
        <f>((N26*W26)+(N25*W25)+(N24*W24)+(N23*W23)+(N22*W22)+(N21*W21)+(N20*W20)+(N19*W19)+(N18*W18)+(N17*W17)+(N16*W16)+(N15*W15)+(N14*W14)+(N13*W13)+(N12*W12)+(N11*W11)+(N10*W10)+(N9*W9)+(N8*W8)+(N7*W7))/Y26</f>
        <v>0.70766271513607837</v>
      </c>
      <c r="AB26" s="1">
        <f>'Heating Savings_Fuel Switching'!B55</f>
        <v>5</v>
      </c>
      <c r="AC26" s="1">
        <f>'Heating Savings_Fuel Switching'!C55</f>
        <v>10</v>
      </c>
      <c r="AD26" s="58">
        <f>'Heating Savings_Fuel Switching'!E55</f>
        <v>319</v>
      </c>
      <c r="AE26" s="213">
        <f>'Heating Savings_Fuel Switching'!E55</f>
        <v>319</v>
      </c>
      <c r="AF26" s="12">
        <f>'Heating Savings_Fuel Switching'!F55</f>
        <v>7.8685389925766749E-2</v>
      </c>
      <c r="AG26" s="213">
        <f>'Heating Savings_Fuel Switching'!G55</f>
        <v>15436.575000000003</v>
      </c>
      <c r="AH26" s="213">
        <f>'Heating Savings_Fuel Switching'!H55</f>
        <v>4924267.4250000007</v>
      </c>
      <c r="AI26" s="58">
        <f>'Heating Savings_Fuel Switching'!I55</f>
        <v>7.5</v>
      </c>
      <c r="AJ26" s="213">
        <f>'Heating Savings_Fuel Switching'!J55</f>
        <v>248</v>
      </c>
      <c r="AK26" s="12">
        <f>'Heating Savings_Fuel Switching'!K55</f>
        <v>6.6558427155696334E-2</v>
      </c>
      <c r="AL26" s="213">
        <f>'Heating Savings_Fuel Switching'!L55</f>
        <v>15436.575000000003</v>
      </c>
      <c r="AM26" s="213">
        <f>'Heating Savings_Fuel Switching'!M55</f>
        <v>3828270.6000000006</v>
      </c>
      <c r="AN26" s="58">
        <f>'Heating Savings_Fuel Switching'!N55</f>
        <v>7.5</v>
      </c>
      <c r="AO26" s="213">
        <f>'Heating Savings_Fuel Switching'!O55</f>
        <v>202</v>
      </c>
      <c r="AP26" s="12">
        <f>'Heating Savings_Fuel Switching'!P55</f>
        <v>6.2541420065350947E-2</v>
      </c>
      <c r="AQ26" s="213">
        <f>'Heating Savings_Fuel Switching'!Q55</f>
        <v>15436.575000000003</v>
      </c>
      <c r="AR26" s="213">
        <f>'Heating Savings_Fuel Switching'!R55</f>
        <v>3118188.1500000004</v>
      </c>
    </row>
    <row r="27" spans="2:44" x14ac:dyDescent="0.25">
      <c r="O27" s="192">
        <f>SUM(O7:O26)</f>
        <v>62581724.887500025</v>
      </c>
      <c r="S27" s="192">
        <f>SUM(S7:S26)</f>
        <v>57517443.900000006</v>
      </c>
      <c r="T27" s="192"/>
      <c r="W27" s="192">
        <f>SUM(W7:W26)</f>
        <v>49857968.475000009</v>
      </c>
      <c r="AB27" s="1">
        <f>'Heating Savings_Fuel Switching'!B56</f>
        <v>0</v>
      </c>
      <c r="AC27" s="1">
        <f>'Heating Savings_Fuel Switching'!C56</f>
        <v>5</v>
      </c>
      <c r="AD27" s="58">
        <f>'Heating Savings_Fuel Switching'!E56</f>
        <v>224</v>
      </c>
      <c r="AE27" s="213">
        <f>'Heating Savings_Fuel Switching'!E56</f>
        <v>224</v>
      </c>
      <c r="AF27" s="12">
        <f>'Heating Savings_Fuel Switching'!F56</f>
        <v>5.9818753905067482E-2</v>
      </c>
      <c r="AG27" s="213">
        <f>'Heating Savings_Fuel Switching'!G56</f>
        <v>16712.325000000004</v>
      </c>
      <c r="AH27" s="213">
        <f>'Heating Savings_Fuel Switching'!H56</f>
        <v>3743560.8000000007</v>
      </c>
      <c r="AI27" s="58">
        <f>'Heating Savings_Fuel Switching'!I56</f>
        <v>2.5</v>
      </c>
      <c r="AJ27" s="213">
        <f>'Heating Savings_Fuel Switching'!J56</f>
        <v>196</v>
      </c>
      <c r="AK27" s="12">
        <f>'Heating Savings_Fuel Switching'!K56</f>
        <v>5.6949952534312814E-2</v>
      </c>
      <c r="AL27" s="213">
        <f>'Heating Savings_Fuel Switching'!L56</f>
        <v>16712.325000000004</v>
      </c>
      <c r="AM27" s="213">
        <f>'Heating Savings_Fuel Switching'!M56</f>
        <v>3275615.7000000007</v>
      </c>
      <c r="AN27" s="58">
        <f>'Heating Savings_Fuel Switching'!N56</f>
        <v>2.5</v>
      </c>
      <c r="AO27" s="213">
        <f>'Heating Savings_Fuel Switching'!O56</f>
        <v>157</v>
      </c>
      <c r="AP27" s="12">
        <f>'Heating Savings_Fuel Switching'!P56</f>
        <v>5.262619206628235E-2</v>
      </c>
      <c r="AQ27" s="213">
        <f>'Heating Savings_Fuel Switching'!Q56</f>
        <v>16712.325000000004</v>
      </c>
      <c r="AR27" s="213">
        <f>'Heating Savings_Fuel Switching'!R56</f>
        <v>2623835.0250000008</v>
      </c>
    </row>
    <row r="28" spans="2:44" x14ac:dyDescent="0.25">
      <c r="AB28" s="1">
        <f>'Heating Savings_Fuel Switching'!B57</f>
        <v>-5</v>
      </c>
      <c r="AC28" s="1">
        <f>'Heating Savings_Fuel Switching'!C57</f>
        <v>0</v>
      </c>
      <c r="AD28" s="58">
        <f>'Heating Savings_Fuel Switching'!E57</f>
        <v>178.5</v>
      </c>
      <c r="AE28" s="213">
        <f>'Heating Savings_Fuel Switching'!E57</f>
        <v>178.5</v>
      </c>
      <c r="AF28" s="12">
        <f>'Heating Savings_Fuel Switching'!F57</f>
        <v>5.1306853450780079E-2</v>
      </c>
      <c r="AG28" s="213">
        <f>'Heating Savings_Fuel Switching'!G57</f>
        <v>17988.075000000001</v>
      </c>
      <c r="AH28" s="213">
        <f>'Heating Savings_Fuel Switching'!H57</f>
        <v>3210871.3875000002</v>
      </c>
      <c r="AI28" s="58">
        <f>'Heating Savings_Fuel Switching'!I57</f>
        <v>-2.5</v>
      </c>
      <c r="AJ28" s="213">
        <f>'Heating Savings_Fuel Switching'!J57</f>
        <v>148</v>
      </c>
      <c r="AK28" s="12">
        <f>'Heating Savings_Fuel Switching'!K57</f>
        <v>4.6285699076415318E-2</v>
      </c>
      <c r="AL28" s="213">
        <f>'Heating Savings_Fuel Switching'!L57</f>
        <v>17988.075000000001</v>
      </c>
      <c r="AM28" s="213">
        <f>'Heating Savings_Fuel Switching'!M57</f>
        <v>2662235.1</v>
      </c>
      <c r="AN28" s="58">
        <f>'Heating Savings_Fuel Switching'!N57</f>
        <v>-2.5</v>
      </c>
      <c r="AO28" s="213">
        <f>'Heating Savings_Fuel Switching'!O57</f>
        <v>114</v>
      </c>
      <c r="AP28" s="12">
        <f>'Heating Savings_Fuel Switching'!P57</f>
        <v>4.1129645124394522E-2</v>
      </c>
      <c r="AQ28" s="213">
        <f>'Heating Savings_Fuel Switching'!Q57</f>
        <v>17988.075000000001</v>
      </c>
      <c r="AR28" s="213">
        <f>'Heating Savings_Fuel Switching'!R57</f>
        <v>2050640.55</v>
      </c>
    </row>
    <row r="29" spans="2:44" x14ac:dyDescent="0.25">
      <c r="AB29" s="1">
        <f>'Heating Savings_Fuel Switching'!B58</f>
        <v>-10</v>
      </c>
      <c r="AC29" s="1">
        <f>'Heating Savings_Fuel Switching'!C58</f>
        <v>-5</v>
      </c>
      <c r="AD29" s="58">
        <f>'Heating Savings_Fuel Switching'!E58</f>
        <v>141</v>
      </c>
      <c r="AE29" s="213">
        <f>'Heating Savings_Fuel Switching'!E58</f>
        <v>141</v>
      </c>
      <c r="AF29" s="12">
        <f>'Heating Savings_Fuel Switching'!F58</f>
        <v>4.3402436252480636E-2</v>
      </c>
      <c r="AG29" s="213">
        <f>'Heating Savings_Fuel Switching'!G58</f>
        <v>19263.825000000004</v>
      </c>
      <c r="AH29" s="213">
        <f>'Heating Savings_Fuel Switching'!H58</f>
        <v>2716199.3250000007</v>
      </c>
      <c r="AI29" s="58">
        <f>'Heating Savings_Fuel Switching'!I58</f>
        <v>-7.5</v>
      </c>
      <c r="AJ29" s="213">
        <f>'Heating Savings_Fuel Switching'!J58</f>
        <v>107</v>
      </c>
      <c r="AK29" s="12">
        <f>'Heating Savings_Fuel Switching'!K58</f>
        <v>3.5836593826799039E-2</v>
      </c>
      <c r="AL29" s="213">
        <f>'Heating Savings_Fuel Switching'!L58</f>
        <v>19263.825000000004</v>
      </c>
      <c r="AM29" s="213">
        <f>'Heating Savings_Fuel Switching'!M58</f>
        <v>2061229.2750000004</v>
      </c>
      <c r="AN29" s="58">
        <f>'Heating Savings_Fuel Switching'!N58</f>
        <v>-7.5</v>
      </c>
      <c r="AO29" s="213">
        <f>'Heating Savings_Fuel Switching'!O58</f>
        <v>67</v>
      </c>
      <c r="AP29" s="12">
        <f>'Heating Savings_Fuel Switching'!P58</f>
        <v>2.5887061075245708E-2</v>
      </c>
      <c r="AQ29" s="213">
        <f>'Heating Savings_Fuel Switching'!Q58</f>
        <v>19263.825000000004</v>
      </c>
      <c r="AR29" s="213">
        <f>'Heating Savings_Fuel Switching'!R58</f>
        <v>1290676.2750000004</v>
      </c>
    </row>
    <row r="30" spans="2:44" x14ac:dyDescent="0.25">
      <c r="AB30" s="1">
        <f>'Heating Savings_Fuel Switching'!B59</f>
        <v>-15</v>
      </c>
      <c r="AC30" s="1">
        <f>'Heating Savings_Fuel Switching'!C59</f>
        <v>-10</v>
      </c>
      <c r="AD30" s="58">
        <f>'Heating Savings_Fuel Switching'!E59</f>
        <v>62.5</v>
      </c>
      <c r="AE30" s="213">
        <f>'Heating Savings_Fuel Switching'!E59</f>
        <v>62.5</v>
      </c>
      <c r="AF30" s="12">
        <f>'Heating Savings_Fuel Switching'!F59</f>
        <v>2.0512752561673307E-2</v>
      </c>
      <c r="AG30" s="213">
        <f>'Heating Savings_Fuel Switching'!G59</f>
        <v>20539.575000000004</v>
      </c>
      <c r="AH30" s="213">
        <f>'Heating Savings_Fuel Switching'!H59</f>
        <v>1283723.4375000002</v>
      </c>
      <c r="AI30" s="58">
        <f>'Heating Savings_Fuel Switching'!I59</f>
        <v>-12.5</v>
      </c>
      <c r="AJ30" s="213">
        <f>'Heating Savings_Fuel Switching'!J59</f>
        <v>68</v>
      </c>
      <c r="AK30" s="12">
        <f>'Heating Savings_Fuel Switching'!K59</f>
        <v>2.4282913239821496E-2</v>
      </c>
      <c r="AL30" s="213">
        <f>'Heating Savings_Fuel Switching'!L59</f>
        <v>20539.575000000004</v>
      </c>
      <c r="AM30" s="213">
        <f>'Heating Savings_Fuel Switching'!M59</f>
        <v>1396691.1000000003</v>
      </c>
      <c r="AN30" s="58">
        <f>'Heating Savings_Fuel Switching'!N59</f>
        <v>-12.5</v>
      </c>
      <c r="AO30" s="213">
        <f>'Heating Savings_Fuel Switching'!O59</f>
        <v>28</v>
      </c>
      <c r="AP30" s="12">
        <f>'Heating Savings_Fuel Switching'!P59</f>
        <v>1.1534928469626138E-2</v>
      </c>
      <c r="AQ30" s="213">
        <f>'Heating Savings_Fuel Switching'!Q59</f>
        <v>20539.575000000004</v>
      </c>
      <c r="AR30" s="213">
        <f>'Heating Savings_Fuel Switching'!R59</f>
        <v>575108.10000000009</v>
      </c>
    </row>
    <row r="31" spans="2:44" x14ac:dyDescent="0.25">
      <c r="AB31" s="1">
        <f>'Heating Savings_Fuel Switching'!B60</f>
        <v>-20</v>
      </c>
      <c r="AC31" s="1">
        <f>'Heating Savings_Fuel Switching'!C60</f>
        <v>-15</v>
      </c>
      <c r="AD31" s="58">
        <f>'Heating Savings_Fuel Switching'!E60</f>
        <v>68</v>
      </c>
      <c r="AE31" s="213">
        <f>'Heating Savings_Fuel Switching'!E60</f>
        <v>68</v>
      </c>
      <c r="AF31" s="12">
        <f>'Heating Savings_Fuel Switching'!F60</f>
        <v>2.3704078190026057E-2</v>
      </c>
      <c r="AG31" s="213">
        <f>'Heating Savings_Fuel Switching'!G60</f>
        <v>21815.325000000004</v>
      </c>
      <c r="AH31" s="213">
        <f>'Heating Savings_Fuel Switching'!H60</f>
        <v>1483442.1000000003</v>
      </c>
      <c r="AI31" s="58">
        <f>'Heating Savings_Fuel Switching'!I60</f>
        <v>-17.5</v>
      </c>
      <c r="AJ31" s="213">
        <f>'Heating Savings_Fuel Switching'!J60</f>
        <v>44</v>
      </c>
      <c r="AK31" s="12">
        <f>'Heating Savings_Fuel Switching'!K60</f>
        <v>1.6688403289771368E-2</v>
      </c>
      <c r="AL31" s="213">
        <f>'Heating Savings_Fuel Switching'!L60</f>
        <v>21815.325000000004</v>
      </c>
      <c r="AM31" s="213">
        <f>'Heating Savings_Fuel Switching'!M60</f>
        <v>959874.30000000016</v>
      </c>
      <c r="AN31" s="58">
        <f>'Heating Savings_Fuel Switching'!N60</f>
        <v>-17.5</v>
      </c>
      <c r="AO31" s="213">
        <f>'Heating Savings_Fuel Switching'!O60</f>
        <v>5</v>
      </c>
      <c r="AP31" s="12">
        <f>'Heating Savings_Fuel Switching'!P60</f>
        <v>2.1877470810848158E-3</v>
      </c>
      <c r="AQ31" s="213">
        <f>'Heating Savings_Fuel Switching'!Q60</f>
        <v>21815.325000000004</v>
      </c>
      <c r="AR31" s="213">
        <f>'Heating Savings_Fuel Switching'!R60</f>
        <v>109076.62500000003</v>
      </c>
    </row>
    <row r="32" spans="2:44" x14ac:dyDescent="0.25">
      <c r="AB32" s="1">
        <f>'Heating Savings_Fuel Switching'!B61</f>
        <v>-25</v>
      </c>
      <c r="AC32" s="1">
        <f>'Heating Savings_Fuel Switching'!C61</f>
        <v>-20</v>
      </c>
      <c r="AD32" s="58">
        <f>'Heating Savings_Fuel Switching'!E61</f>
        <v>28</v>
      </c>
      <c r="AE32" s="213">
        <f>'Heating Savings_Fuel Switching'!E61</f>
        <v>28</v>
      </c>
      <c r="AF32" s="12">
        <f>'Heating Savings_Fuel Switching'!F61</f>
        <v>1.0331292420627112E-2</v>
      </c>
      <c r="AG32" s="213">
        <f>'Heating Savings_Fuel Switching'!G61</f>
        <v>23091.075000000004</v>
      </c>
      <c r="AH32" s="213">
        <f>'Heating Savings_Fuel Switching'!H61</f>
        <v>646550.10000000009</v>
      </c>
      <c r="AI32" s="58">
        <f>'Heating Savings_Fuel Switching'!I61</f>
        <v>-22.5</v>
      </c>
      <c r="AJ32" s="213">
        <f>'Heating Savings_Fuel Switching'!J61</f>
        <v>20</v>
      </c>
      <c r="AK32" s="12">
        <f>'Heating Savings_Fuel Switching'!K61</f>
        <v>8.0292424121441199E-3</v>
      </c>
      <c r="AL32" s="213">
        <f>'Heating Savings_Fuel Switching'!L61</f>
        <v>23091.075000000004</v>
      </c>
      <c r="AM32" s="213">
        <f>'Heating Savings_Fuel Switching'!M61</f>
        <v>461821.50000000012</v>
      </c>
      <c r="AN32" s="58">
        <f>'Heating Savings_Fuel Switching'!N61</f>
        <v>-22.5</v>
      </c>
      <c r="AO32" s="213">
        <f>'Heating Savings_Fuel Switching'!O61</f>
        <v>2</v>
      </c>
      <c r="AP32" s="12">
        <f>'Heating Savings_Fuel Switching'!P61</f>
        <v>9.262742027516997E-4</v>
      </c>
      <c r="AQ32" s="213">
        <f>'Heating Savings_Fuel Switching'!Q61</f>
        <v>23091.075000000004</v>
      </c>
      <c r="AR32" s="213">
        <f>'Heating Savings_Fuel Switching'!R61</f>
        <v>46182.150000000009</v>
      </c>
    </row>
    <row r="33" spans="28:44" x14ac:dyDescent="0.25">
      <c r="AB33" s="1">
        <f>'Heating Savings_Fuel Switching'!B62</f>
        <v>-30</v>
      </c>
      <c r="AC33" s="1">
        <f>'Heating Savings_Fuel Switching'!C62</f>
        <v>-25</v>
      </c>
      <c r="AD33" s="58">
        <f>'Heating Savings_Fuel Switching'!E62</f>
        <v>10</v>
      </c>
      <c r="AE33" s="213">
        <f>'Heating Savings_Fuel Switching'!E62</f>
        <v>10</v>
      </c>
      <c r="AF33" s="12">
        <f>'Heating Savings_Fuel Switching'!F62</f>
        <v>3.8936007346878029E-3</v>
      </c>
      <c r="AG33" s="213">
        <f>'Heating Savings_Fuel Switching'!G62</f>
        <v>24366.825000000004</v>
      </c>
      <c r="AH33" s="213">
        <f>'Heating Savings_Fuel Switching'!H62</f>
        <v>243668.25000000006</v>
      </c>
      <c r="AI33" s="58">
        <f>'Heating Savings_Fuel Switching'!I62</f>
        <v>-27.5</v>
      </c>
      <c r="AJ33" s="213">
        <f>'Heating Savings_Fuel Switching'!J62</f>
        <v>8</v>
      </c>
      <c r="AK33" s="12">
        <f>'Heating Savings_Fuel Switching'!K62</f>
        <v>3.389138786120501E-3</v>
      </c>
      <c r="AL33" s="213">
        <f>'Heating Savings_Fuel Switching'!L62</f>
        <v>24366.825000000004</v>
      </c>
      <c r="AM33" s="213">
        <f>'Heating Savings_Fuel Switching'!M62</f>
        <v>194934.60000000003</v>
      </c>
      <c r="AN33" s="58">
        <f>'Heating Savings_Fuel Switching'!N62</f>
        <v>-27.5</v>
      </c>
      <c r="AO33" s="213">
        <f>'Heating Savings_Fuel Switching'!O62</f>
        <v>1</v>
      </c>
      <c r="AP33" s="12">
        <f>'Heating Savings_Fuel Switching'!P62</f>
        <v>4.887247865347366E-4</v>
      </c>
      <c r="AQ33" s="213">
        <f>'Heating Savings_Fuel Switching'!Q62</f>
        <v>24366.825000000004</v>
      </c>
      <c r="AR33" s="213">
        <f>'Heating Savings_Fuel Switching'!R62</f>
        <v>24366.825000000004</v>
      </c>
    </row>
    <row r="34" spans="28:44" x14ac:dyDescent="0.25">
      <c r="AB34" s="1">
        <f>'Heating Savings_Fuel Switching'!B63</f>
        <v>-35</v>
      </c>
      <c r="AC34" s="1">
        <f>'Heating Savings_Fuel Switching'!C63</f>
        <v>-30</v>
      </c>
      <c r="AD34" s="58">
        <f>'Heating Savings_Fuel Switching'!E63</f>
        <v>3</v>
      </c>
      <c r="AE34" s="213">
        <f>'Heating Savings_Fuel Switching'!E63</f>
        <v>3</v>
      </c>
      <c r="AF34" s="12">
        <f>'Heating Savings_Fuel Switching'!F63</f>
        <v>1.2292362528883482E-3</v>
      </c>
      <c r="AG34" s="213">
        <f>'Heating Savings_Fuel Switching'!G63</f>
        <v>25642.575000000004</v>
      </c>
      <c r="AH34" s="213">
        <f>'Heating Savings_Fuel Switching'!H63</f>
        <v>76927.725000000006</v>
      </c>
      <c r="AI34" s="58">
        <f>'Heating Savings_Fuel Switching'!I63</f>
        <v>-32.5</v>
      </c>
      <c r="AJ34" s="213">
        <f>'Heating Savings_Fuel Switching'!J63</f>
        <v>2</v>
      </c>
      <c r="AK34" s="12">
        <f>'Heating Savings_Fuel Switching'!K63</f>
        <v>8.9164515184583857E-4</v>
      </c>
      <c r="AL34" s="213">
        <f>'Heating Savings_Fuel Switching'!L63</f>
        <v>25642.575000000004</v>
      </c>
      <c r="AM34" s="213">
        <f>'Heating Savings_Fuel Switching'!M63</f>
        <v>51285.150000000009</v>
      </c>
      <c r="AN34" s="58">
        <f>'Heating Savings_Fuel Switching'!N63</f>
        <v>-32.5</v>
      </c>
      <c r="AO34" s="213">
        <f>'Heating Savings_Fuel Switching'!O63</f>
        <v>0</v>
      </c>
      <c r="AP34" s="12">
        <f>'Heating Savings_Fuel Switching'!P63</f>
        <v>0</v>
      </c>
      <c r="AQ34" s="213">
        <f>'Heating Savings_Fuel Switching'!Q63</f>
        <v>25642.575000000004</v>
      </c>
      <c r="AR34" s="213">
        <f>'Heating Savings_Fuel Switching'!R63</f>
        <v>0</v>
      </c>
    </row>
    <row r="35" spans="28:44" x14ac:dyDescent="0.25">
      <c r="AB35" s="1">
        <f>'Heating Savings_Fuel Switching'!B64</f>
        <v>-40</v>
      </c>
      <c r="AC35" s="1">
        <f>'Heating Savings_Fuel Switching'!C64</f>
        <v>-35</v>
      </c>
      <c r="AD35" s="213">
        <f>'Heating Savings_Fuel Switching'!E64</f>
        <v>0</v>
      </c>
      <c r="AE35" s="213">
        <f>'Heating Savings_Fuel Switching'!E64</f>
        <v>0</v>
      </c>
      <c r="AF35" s="12">
        <f>'Heating Savings_Fuel Switching'!F64</f>
        <v>0</v>
      </c>
      <c r="AG35" s="213">
        <f>'Heating Savings_Fuel Switching'!G64</f>
        <v>26918.325000000004</v>
      </c>
      <c r="AH35" s="213">
        <f>'Heating Savings_Fuel Switching'!H64</f>
        <v>0</v>
      </c>
      <c r="AI35" s="58">
        <f>'Heating Savings_Fuel Switching'!I64</f>
        <v>-37.5</v>
      </c>
      <c r="AJ35" s="213">
        <f>'Heating Savings_Fuel Switching'!J64</f>
        <v>1</v>
      </c>
      <c r="AK35" s="12">
        <f>'Heating Savings_Fuel Switching'!K64</f>
        <v>4.68002803580776E-4</v>
      </c>
      <c r="AL35" s="213">
        <f>'Heating Savings_Fuel Switching'!L64</f>
        <v>26918.325000000004</v>
      </c>
      <c r="AM35" s="213">
        <f>'Heating Savings_Fuel Switching'!M64</f>
        <v>26918.325000000004</v>
      </c>
      <c r="AN35" s="58">
        <f>'Heating Savings_Fuel Switching'!N64</f>
        <v>-37.5</v>
      </c>
      <c r="AO35" s="213">
        <f>'Heating Savings_Fuel Switching'!O64</f>
        <v>0</v>
      </c>
      <c r="AP35" s="12">
        <f>'Heating Savings_Fuel Switching'!P64</f>
        <v>0</v>
      </c>
      <c r="AQ35" s="213">
        <f>'Heating Savings_Fuel Switching'!Q64</f>
        <v>26918.325000000004</v>
      </c>
      <c r="AR35" s="213">
        <f>'Heating Savings_Fuel Switching'!R64</f>
        <v>0</v>
      </c>
    </row>
    <row r="36" spans="28:44" x14ac:dyDescent="0.25">
      <c r="AB36" s="1">
        <f>'Heating Savings_Fuel Switching'!B65</f>
        <v>-45</v>
      </c>
      <c r="AC36" s="1">
        <f>'Heating Savings_Fuel Switching'!C65</f>
        <v>-40</v>
      </c>
      <c r="AD36" s="213">
        <f>'Heating Savings_Fuel Switching'!E65</f>
        <v>0</v>
      </c>
      <c r="AE36" s="213">
        <f>'Heating Savings_Fuel Switching'!E65</f>
        <v>0</v>
      </c>
      <c r="AF36" s="12">
        <f>'Heating Savings_Fuel Switching'!F65</f>
        <v>0</v>
      </c>
      <c r="AG36" s="213">
        <f>'Heating Savings_Fuel Switching'!G65</f>
        <v>28194.075000000004</v>
      </c>
      <c r="AH36" s="213">
        <f>'Heating Savings_Fuel Switching'!H65</f>
        <v>0</v>
      </c>
      <c r="AI36" s="58">
        <f>'Heating Savings_Fuel Switching'!I65</f>
        <v>-42.5</v>
      </c>
      <c r="AJ36" s="213">
        <f>'Heating Savings_Fuel Switching'!J65</f>
        <v>0</v>
      </c>
      <c r="AK36" s="12">
        <f>'Heating Savings_Fuel Switching'!K65</f>
        <v>0</v>
      </c>
      <c r="AL36" s="213">
        <f>'Heating Savings_Fuel Switching'!L65</f>
        <v>28194.075000000004</v>
      </c>
      <c r="AM36" s="213">
        <f>'Heating Savings_Fuel Switching'!M65</f>
        <v>0</v>
      </c>
      <c r="AN36" s="58">
        <f>'Heating Savings_Fuel Switching'!N65</f>
        <v>-42.5</v>
      </c>
      <c r="AO36" s="213">
        <f>'Heating Savings_Fuel Switching'!O65</f>
        <v>0</v>
      </c>
      <c r="AP36" s="12">
        <f>'Heating Savings_Fuel Switching'!P65</f>
        <v>0</v>
      </c>
      <c r="AQ36" s="213">
        <f>'Heating Savings_Fuel Switching'!Q65</f>
        <v>28194.075000000004</v>
      </c>
      <c r="AR36" s="213">
        <f>'Heating Savings_Fuel Switching'!R65</f>
        <v>0</v>
      </c>
    </row>
    <row r="37" spans="28:44" x14ac:dyDescent="0.25">
      <c r="AB37" s="1">
        <f>'Heating Savings_Fuel Switching'!B66</f>
        <v>-50</v>
      </c>
      <c r="AC37" s="1">
        <f>'Heating Savings_Fuel Switching'!C66</f>
        <v>-45</v>
      </c>
      <c r="AD37" s="213">
        <f>'Heating Savings_Fuel Switching'!E66</f>
        <v>0</v>
      </c>
      <c r="AE37" s="213">
        <f>'Heating Savings_Fuel Switching'!E66</f>
        <v>0</v>
      </c>
      <c r="AF37" s="12">
        <f>'Heating Savings_Fuel Switching'!F66</f>
        <v>0</v>
      </c>
      <c r="AG37" s="213">
        <f>'Heating Savings_Fuel Switching'!G66</f>
        <v>29469.825000000004</v>
      </c>
      <c r="AH37" s="213">
        <f>'Heating Savings_Fuel Switching'!H66</f>
        <v>0</v>
      </c>
      <c r="AI37" s="58">
        <f>'Heating Savings_Fuel Switching'!I66</f>
        <v>-47.5</v>
      </c>
      <c r="AJ37" s="213">
        <f>'Heating Savings_Fuel Switching'!J66</f>
        <v>0</v>
      </c>
      <c r="AK37" s="12">
        <f>'Heating Savings_Fuel Switching'!K66</f>
        <v>0</v>
      </c>
      <c r="AL37" s="213">
        <f>'Heating Savings_Fuel Switching'!L66</f>
        <v>29469.825000000004</v>
      </c>
      <c r="AM37" s="213">
        <f>'Heating Savings_Fuel Switching'!M66</f>
        <v>0</v>
      </c>
      <c r="AN37" s="58">
        <f>'Heating Savings_Fuel Switching'!N66</f>
        <v>-47.5</v>
      </c>
      <c r="AO37" s="213">
        <f>'Heating Savings_Fuel Switching'!O66</f>
        <v>0</v>
      </c>
      <c r="AP37" s="12">
        <f>'Heating Savings_Fuel Switching'!P66</f>
        <v>0</v>
      </c>
      <c r="AQ37" s="213">
        <f>'Heating Savings_Fuel Switching'!Q66</f>
        <v>29469.825000000004</v>
      </c>
      <c r="AR37" s="213">
        <f>'Heating Savings_Fuel Switching'!R66</f>
        <v>0</v>
      </c>
    </row>
    <row r="38" spans="28:44" x14ac:dyDescent="0.25">
      <c r="AB38" t="str">
        <f>'Heating Savings_Fuel Switching'!B67</f>
        <v>Total</v>
      </c>
      <c r="AC38">
        <f>'Heating Savings_Fuel Switching'!C67</f>
        <v>0</v>
      </c>
      <c r="AD38" s="196">
        <f>'Heating Savings_Fuel Switching'!E67</f>
        <v>8760</v>
      </c>
      <c r="AE38" s="196">
        <f>'Heating Savings_Fuel Switching'!E67</f>
        <v>8760</v>
      </c>
      <c r="AF38" s="196"/>
      <c r="AG38" s="196"/>
      <c r="AH38" s="196">
        <f>'Heating Savings_Fuel Switching'!H67</f>
        <v>62581724.887500025</v>
      </c>
      <c r="AI38" s="196"/>
      <c r="AJ38" s="196">
        <f>'Heating Savings_Fuel Switching'!J67</f>
        <v>8760</v>
      </c>
      <c r="AK38" s="196"/>
      <c r="AL38" s="196"/>
      <c r="AM38" s="196">
        <f>'Heating Savings_Fuel Switching'!M67</f>
        <v>57517443.900000006</v>
      </c>
      <c r="AN38" s="196"/>
      <c r="AO38" s="196">
        <f>'Heating Savings_Fuel Switching'!O67</f>
        <v>8760</v>
      </c>
      <c r="AP38" s="196"/>
      <c r="AQ38" s="196"/>
      <c r="AR38" s="196">
        <f>'Heating Savings_Fuel Switching'!R67</f>
        <v>49857968.475000009</v>
      </c>
    </row>
    <row r="39" spans="28:44" x14ac:dyDescent="0.25">
      <c r="AB39" t="str">
        <f>'Heating Savings_Fuel Switching'!B68</f>
        <v>Heating Hours (&lt;60F)</v>
      </c>
      <c r="AC39">
        <f>'Heating Savings_Fuel Switching'!C68</f>
        <v>0</v>
      </c>
      <c r="AD39" s="196">
        <f>'Heating Savings_Fuel Switching'!E68</f>
        <v>6568.5</v>
      </c>
      <c r="AE39" s="196">
        <f>'Heating Savings_Fuel Switching'!E68</f>
        <v>6568.5</v>
      </c>
      <c r="AF39" s="196"/>
      <c r="AG39" s="196"/>
      <c r="AH39" s="196">
        <f>'Heating Savings_Fuel Switching'!H68</f>
        <v>0</v>
      </c>
      <c r="AI39" s="196"/>
      <c r="AJ39" s="196">
        <f>'Heating Savings_Fuel Switching'!J68</f>
        <v>6212</v>
      </c>
      <c r="AK39" s="196"/>
      <c r="AL39" s="196"/>
      <c r="AM39" s="196">
        <f>'Heating Savings_Fuel Switching'!M68</f>
        <v>0</v>
      </c>
      <c r="AN39" s="196"/>
      <c r="AO39" s="196">
        <f>'Heating Savings_Fuel Switching'!O68</f>
        <v>5603</v>
      </c>
      <c r="AP39" s="196"/>
      <c r="AQ39" s="196"/>
      <c r="AR39" s="196">
        <f>'Heating Savings_Fuel Switching'!R68</f>
        <v>0</v>
      </c>
    </row>
    <row r="40" spans="28:44" x14ac:dyDescent="0.25">
      <c r="AB40" t="str">
        <f>'Heating Savings_Fuel Switching'!B69</f>
        <v>Switchover</v>
      </c>
      <c r="AC40">
        <f>'Heating Savings_Fuel Switching'!C69</f>
        <v>0</v>
      </c>
      <c r="AD40" s="196">
        <f>'Heating Savings_Fuel Switching'!E69</f>
        <v>3050.5</v>
      </c>
      <c r="AE40" s="196">
        <f>'Heating Savings_Fuel Switching'!E69</f>
        <v>3050.5</v>
      </c>
      <c r="AF40" s="196"/>
      <c r="AG40" s="196"/>
      <c r="AH40" s="196">
        <f>'Heating Savings_Fuel Switching'!H69</f>
        <v>42067920.037500016</v>
      </c>
      <c r="AI40" s="196"/>
      <c r="AJ40" s="196">
        <f>'Heating Savings_Fuel Switching'!J69</f>
        <v>2654</v>
      </c>
      <c r="AK40" s="196"/>
      <c r="AL40" s="196"/>
      <c r="AM40" s="196">
        <f>'Heating Savings_Fuel Switching'!M69</f>
        <v>36520129.800000004</v>
      </c>
      <c r="AN40" s="196"/>
      <c r="AO40" s="196">
        <f>'Heating Savings_Fuel Switching'!O69</f>
        <v>2224</v>
      </c>
      <c r="AP40" s="196"/>
      <c r="AQ40" s="196"/>
      <c r="AR40" s="196">
        <f>'Heating Savings_Fuel Switching'!R69</f>
        <v>29470335.300000008</v>
      </c>
    </row>
    <row r="41" spans="28:44" x14ac:dyDescent="0.25">
      <c r="AC41">
        <f>'Heating Savings_Fuel Switching'!C70</f>
        <v>0</v>
      </c>
      <c r="AD41" s="196">
        <f>'Heating Savings_Fuel Switching'!E70</f>
        <v>0.46441348861992843</v>
      </c>
      <c r="AE41" s="196">
        <f>'Heating Savings_Fuel Switching'!E70</f>
        <v>0.46441348861992843</v>
      </c>
      <c r="AF41" s="196"/>
      <c r="AG41" s="196"/>
      <c r="AH41" s="196">
        <f>'Heating Savings_Fuel Switching'!H70</f>
        <v>0.67220774296527253</v>
      </c>
      <c r="AI41" s="196"/>
      <c r="AJ41" s="196">
        <f>'Heating Savings_Fuel Switching'!J70</f>
        <v>0.42723760463618804</v>
      </c>
      <c r="AK41" s="196"/>
      <c r="AL41" s="196"/>
      <c r="AM41" s="196">
        <f>'Heating Savings_Fuel Switching'!M70</f>
        <v>0.63494006902486844</v>
      </c>
      <c r="AN41" s="196"/>
      <c r="AO41" s="196">
        <f>'Heating Savings_Fuel Switching'!O70</f>
        <v>0.39693021595573802</v>
      </c>
      <c r="AP41" s="196"/>
      <c r="AQ41" s="196"/>
      <c r="AR41" s="196">
        <f>'Heating Savings_Fuel Switching'!R70</f>
        <v>0.59108576224434706</v>
      </c>
    </row>
  </sheetData>
  <mergeCells count="6">
    <mergeCell ref="AN5:AR5"/>
    <mergeCell ref="AI5:AM5"/>
    <mergeCell ref="AD5:AH5"/>
    <mergeCell ref="O5:R5"/>
    <mergeCell ref="W5:Z5"/>
    <mergeCell ref="S5:V5"/>
  </mergeCells>
  <pageMargins left="0.7" right="0.7" top="0.75" bottom="0.75" header="0.3" footer="0.3"/>
  <pageSetup orientation="portrait" horizontalDpi="4294967293"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5847F-B951-4E2C-8FFA-9A4861C175D4}">
  <dimension ref="B4:M15"/>
  <sheetViews>
    <sheetView workbookViewId="0"/>
  </sheetViews>
  <sheetFormatPr defaultRowHeight="15" x14ac:dyDescent="0.25"/>
  <sheetData>
    <row r="4" spans="2:13" x14ac:dyDescent="0.25">
      <c r="B4" s="5" t="s">
        <v>99</v>
      </c>
    </row>
    <row r="5" spans="2:13" ht="30" x14ac:dyDescent="0.25">
      <c r="C5" s="346" t="s">
        <v>100</v>
      </c>
      <c r="D5" s="2" t="s">
        <v>101</v>
      </c>
      <c r="E5" s="2" t="s">
        <v>102</v>
      </c>
      <c r="F5" s="2" t="s">
        <v>103</v>
      </c>
      <c r="G5" s="2" t="s">
        <v>104</v>
      </c>
      <c r="H5" s="2" t="s">
        <v>105</v>
      </c>
      <c r="I5" s="2" t="s">
        <v>106</v>
      </c>
      <c r="J5" s="2" t="s">
        <v>106</v>
      </c>
      <c r="K5" s="348" t="s">
        <v>107</v>
      </c>
      <c r="L5" s="347" t="s">
        <v>108</v>
      </c>
    </row>
    <row r="6" spans="2:13" ht="30" x14ac:dyDescent="0.25">
      <c r="C6" s="346"/>
      <c r="D6" s="2" t="s">
        <v>109</v>
      </c>
      <c r="E6" s="3" t="s">
        <v>110</v>
      </c>
      <c r="F6" s="3" t="s">
        <v>111</v>
      </c>
      <c r="G6" s="3" t="s">
        <v>112</v>
      </c>
      <c r="H6" s="3" t="s">
        <v>113</v>
      </c>
      <c r="I6" s="3" t="s">
        <v>114</v>
      </c>
      <c r="J6" s="6" t="s">
        <v>115</v>
      </c>
      <c r="K6" s="349"/>
      <c r="L6" s="347"/>
    </row>
    <row r="7" spans="2:13" x14ac:dyDescent="0.25">
      <c r="C7" s="346"/>
      <c r="D7" s="2" t="s">
        <v>116</v>
      </c>
      <c r="E7" s="4" t="e">
        <f>#REF!</f>
        <v>#REF!</v>
      </c>
      <c r="F7" s="4" t="e">
        <f>#REF!</f>
        <v>#REF!</v>
      </c>
      <c r="G7" s="4" t="e">
        <f>#REF!</f>
        <v>#REF!</v>
      </c>
      <c r="H7" s="4" t="e">
        <f>#REF!</f>
        <v>#REF!</v>
      </c>
      <c r="I7" s="4" t="e">
        <f>#REF!</f>
        <v>#REF!</v>
      </c>
      <c r="J7" s="4" t="e">
        <f>#REF!</f>
        <v>#REF!</v>
      </c>
      <c r="K7" s="349"/>
      <c r="L7" s="347"/>
    </row>
    <row r="8" spans="2:13" ht="30" x14ac:dyDescent="0.25">
      <c r="C8" s="346"/>
      <c r="D8" s="2" t="s">
        <v>117</v>
      </c>
      <c r="E8" s="2" t="s">
        <v>53</v>
      </c>
      <c r="F8" s="2"/>
      <c r="G8" s="2"/>
      <c r="H8" s="2"/>
      <c r="I8" s="2"/>
      <c r="J8" s="2"/>
      <c r="K8" s="350"/>
      <c r="L8" s="347"/>
    </row>
    <row r="9" spans="2:13" x14ac:dyDescent="0.25">
      <c r="C9" s="1">
        <v>1</v>
      </c>
      <c r="D9" s="1" t="s">
        <v>118</v>
      </c>
      <c r="E9" s="1">
        <v>1</v>
      </c>
      <c r="F9" s="1">
        <v>6</v>
      </c>
      <c r="G9" s="1"/>
      <c r="H9" s="1"/>
      <c r="I9" s="1"/>
      <c r="J9" s="1"/>
      <c r="K9" s="1">
        <f t="shared" ref="K9:K14" si="0">SUM(E9:J9)</f>
        <v>7</v>
      </c>
      <c r="L9" s="7" t="e">
        <f>SUMPRODUCT(E9:J9,$E$7:$J$7)</f>
        <v>#REF!</v>
      </c>
    </row>
    <row r="10" spans="2:13" x14ac:dyDescent="0.25">
      <c r="C10" s="1">
        <v>2</v>
      </c>
      <c r="D10" s="1" t="s">
        <v>119</v>
      </c>
      <c r="E10" s="1"/>
      <c r="F10" s="1">
        <v>1</v>
      </c>
      <c r="G10" s="1">
        <v>1</v>
      </c>
      <c r="H10" s="1">
        <v>0.5</v>
      </c>
      <c r="I10" s="1">
        <v>2</v>
      </c>
      <c r="J10" s="1"/>
      <c r="K10" s="1">
        <f t="shared" si="0"/>
        <v>4.5</v>
      </c>
      <c r="L10" s="7" t="e">
        <f>SUMPRODUCT(E10:J10,$E$7:$J$7)</f>
        <v>#REF!</v>
      </c>
    </row>
    <row r="11" spans="2:13" x14ac:dyDescent="0.25">
      <c r="C11" s="1">
        <v>3</v>
      </c>
      <c r="D11" s="1" t="s">
        <v>120</v>
      </c>
      <c r="E11" s="1"/>
      <c r="F11" s="1">
        <v>1</v>
      </c>
      <c r="G11" s="1">
        <v>2</v>
      </c>
      <c r="H11" s="1"/>
      <c r="I11" s="1">
        <v>2</v>
      </c>
      <c r="J11" s="1"/>
      <c r="K11" s="1">
        <f t="shared" si="0"/>
        <v>5</v>
      </c>
      <c r="L11" s="7" t="e">
        <f>SUMPRODUCT(E11:J11,$E$7:$J$7)</f>
        <v>#REF!</v>
      </c>
    </row>
    <row r="12" spans="2:13" x14ac:dyDescent="0.25">
      <c r="C12" s="1">
        <v>4</v>
      </c>
      <c r="D12" s="1" t="s">
        <v>121</v>
      </c>
      <c r="E12" s="1"/>
      <c r="F12" s="1">
        <v>6</v>
      </c>
      <c r="G12" s="1">
        <v>4</v>
      </c>
      <c r="H12" s="1">
        <v>1</v>
      </c>
      <c r="I12" s="1">
        <v>40</v>
      </c>
      <c r="J12" s="1">
        <v>8</v>
      </c>
      <c r="K12" s="1">
        <f t="shared" si="0"/>
        <v>59</v>
      </c>
      <c r="L12" s="7" t="e">
        <f>SUMPRODUCT(E12:J12,$E$7:$J$7)</f>
        <v>#REF!</v>
      </c>
    </row>
    <row r="13" spans="2:13" x14ac:dyDescent="0.25">
      <c r="C13" s="1">
        <v>5</v>
      </c>
      <c r="D13" s="1" t="s">
        <v>122</v>
      </c>
      <c r="E13" s="1">
        <v>0.5</v>
      </c>
      <c r="F13" s="1">
        <v>4</v>
      </c>
      <c r="G13" s="1"/>
      <c r="H13" s="1"/>
      <c r="I13" s="1">
        <v>4</v>
      </c>
      <c r="J13" s="1"/>
      <c r="K13" s="1">
        <f t="shared" si="0"/>
        <v>8.5</v>
      </c>
      <c r="L13" s="7" t="e">
        <f>SUMPRODUCT(E13:J13,$E$7:$J$7)</f>
        <v>#REF!</v>
      </c>
    </row>
    <row r="14" spans="2:13" x14ac:dyDescent="0.25">
      <c r="C14" s="1" t="s">
        <v>107</v>
      </c>
      <c r="D14" s="1"/>
      <c r="E14" s="1">
        <f>SUM(E9:E13)</f>
        <v>1.5</v>
      </c>
      <c r="F14" s="1">
        <f>SUM(F9:F13)</f>
        <v>18</v>
      </c>
      <c r="G14" s="1">
        <f>SUM(G9:G13)</f>
        <v>7</v>
      </c>
      <c r="H14" s="1"/>
      <c r="I14" s="1">
        <f>SUM(I9:I13)</f>
        <v>48</v>
      </c>
      <c r="J14" s="1">
        <f>SUM(J9:J13)</f>
        <v>8</v>
      </c>
      <c r="K14" s="1">
        <f t="shared" si="0"/>
        <v>82.5</v>
      </c>
      <c r="L14" s="7" t="e">
        <f>SUM(L9:L13)</f>
        <v>#REF!</v>
      </c>
      <c r="M14" s="8">
        <v>15000</v>
      </c>
    </row>
    <row r="15" spans="2:13" x14ac:dyDescent="0.25">
      <c r="L15" s="9" t="e">
        <f>L14/6</f>
        <v>#REF!</v>
      </c>
      <c r="M15" s="8">
        <f>M14/6</f>
        <v>2500</v>
      </c>
    </row>
  </sheetData>
  <mergeCells count="3">
    <mergeCell ref="C5:C8"/>
    <mergeCell ref="L5:L8"/>
    <mergeCell ref="K5:K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25102C02A2516489B17C1F51D5C119D" ma:contentTypeVersion="13" ma:contentTypeDescription="Create a new document." ma:contentTypeScope="" ma:versionID="5c36a786bed7e96efbadc4a74c5dd133">
  <xsd:schema xmlns:xsd="http://www.w3.org/2001/XMLSchema" xmlns:xs="http://www.w3.org/2001/XMLSchema" xmlns:p="http://schemas.microsoft.com/office/2006/metadata/properties" xmlns:ns2="8d4c24c9-fbc8-402f-8a0d-3a534253e7ff" xmlns:ns3="cafda0ec-eea7-42a7-873c-b4f87578f28d" targetNamespace="http://schemas.microsoft.com/office/2006/metadata/properties" ma:root="true" ma:fieldsID="4e84dcdb86dadbe2bf51368d90eece27" ns2:_="" ns3:_="">
    <xsd:import namespace="8d4c24c9-fbc8-402f-8a0d-3a534253e7ff"/>
    <xsd:import namespace="cafda0ec-eea7-42a7-873c-b4f87578f28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AutoKeyPoints" minOccurs="0"/>
                <xsd:element ref="ns2:MediaServiceKeyPoints" minOccurs="0"/>
                <xsd:element ref="ns2:MediaServiceGenerationTime" minOccurs="0"/>
                <xsd:element ref="ns2:MediaServiceEventHashCode" minOccurs="0"/>
                <xsd:element ref="ns2:MediaServiceOCR"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4c24c9-fbc8-402f-8a0d-3a534253e7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afda0ec-eea7-42a7-873c-b4f87578f28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E307546-A936-4B0F-906A-CC569F5DE0AA}">
  <ds:schemaRefs>
    <ds:schemaRef ds:uri="http://schemas.microsoft.com/sharepoint/v3/contenttype/forms"/>
  </ds:schemaRefs>
</ds:datastoreItem>
</file>

<file path=customXml/itemProps2.xml><?xml version="1.0" encoding="utf-8"?>
<ds:datastoreItem xmlns:ds="http://schemas.openxmlformats.org/officeDocument/2006/customXml" ds:itemID="{DAC85E4D-AB52-4C10-B7EA-9A5FED4379CA}">
  <ds:schemaRefs>
    <ds:schemaRef ds:uri="http://schemas.microsoft.com/office/2006/documentManagement/types"/>
    <ds:schemaRef ds:uri="http://schemas.microsoft.com/office/2006/metadata/properties"/>
    <ds:schemaRef ds:uri="http://purl.org/dc/terms/"/>
    <ds:schemaRef ds:uri="http://purl.org/dc/dcmitype/"/>
    <ds:schemaRef ds:uri="http://www.w3.org/XML/1998/namespace"/>
    <ds:schemaRef ds:uri="http://schemas.openxmlformats.org/package/2006/metadata/core-properties"/>
    <ds:schemaRef ds:uri="http://purl.org/dc/elements/1.1/"/>
    <ds:schemaRef ds:uri="cafda0ec-eea7-42a7-873c-b4f87578f28d"/>
    <ds:schemaRef ds:uri="http://schemas.microsoft.com/office/infopath/2007/PartnerControls"/>
    <ds:schemaRef ds:uri="8d4c24c9-fbc8-402f-8a0d-3a534253e7ff"/>
  </ds:schemaRefs>
</ds:datastoreItem>
</file>

<file path=customXml/itemProps3.xml><?xml version="1.0" encoding="utf-8"?>
<ds:datastoreItem xmlns:ds="http://schemas.openxmlformats.org/officeDocument/2006/customXml" ds:itemID="{940481AA-8992-4703-B6B9-FE423ACB03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4c24c9-fbc8-402f-8a0d-3a534253e7ff"/>
    <ds:schemaRef ds:uri="cafda0ec-eea7-42a7-873c-b4f87578f2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Heating Savings_Fuel Switching</vt:lpstr>
      <vt:lpstr>Cooling Savings</vt:lpstr>
      <vt:lpstr>SAS MN Bin Data by Zone</vt:lpstr>
      <vt:lpstr>ASHP Derating Scale</vt:lpstr>
      <vt:lpstr>Case studies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Christie Amero</dc:creator>
  <cp:keywords/>
  <dc:description/>
  <cp:lastModifiedBy>Jenna Lipscomb</cp:lastModifiedBy>
  <cp:revision/>
  <dcterms:created xsi:type="dcterms:W3CDTF">2022-04-26T15:02:20Z</dcterms:created>
  <dcterms:modified xsi:type="dcterms:W3CDTF">2023-02-15T17:42:45Z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0x010100725102C02A2516489B17C1F51D5C119D</vt:lpwstr>
  </property>
</Properties>
</file>